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485" windowHeight="14100" tabRatio="842" firstSheet="11" activeTab="12"/>
  </bookViews>
  <sheets>
    <sheet name="Règlement" sheetId="23" r:id="rId1"/>
    <sheet name="Shéma" sheetId="24" r:id="rId2"/>
    <sheet name="Formules" sheetId="32" state="hidden" r:id="rId3"/>
    <sheet name="Explication" sheetId="31" r:id="rId4"/>
    <sheet name="5 équ.Vok+" sheetId="3" r:id="rId5"/>
    <sheet name="6 équ.Vok+" sheetId="4" r:id="rId6"/>
    <sheet name="7 équ.Vok+" sheetId="20" r:id="rId7"/>
    <sheet name="8 équ.Vok+" sheetId="26" r:id="rId8"/>
    <sheet name="9 équ.Vok+" sheetId="21" r:id="rId9"/>
    <sheet name="10 équ.Vok+" sheetId="5" r:id="rId10"/>
    <sheet name="11 équ.Vok+" sheetId="6" r:id="rId11"/>
    <sheet name="12 équ.Vok+" sheetId="1" r:id="rId12"/>
    <sheet name="13 équ.Vok+" sheetId="22" r:id="rId13"/>
    <sheet name="14 équ.Vok+" sheetId="7" r:id="rId14"/>
    <sheet name="15 équ.Vok+" sheetId="25" r:id="rId15"/>
    <sheet name="16 équ.Vok+" sheetId="10" r:id="rId16"/>
    <sheet name="17 équ.Vok+" sheetId="11" r:id="rId17"/>
    <sheet name="18 équ.Vok+" sheetId="27" r:id="rId18"/>
    <sheet name="19 équ.Vok+" sheetId="29" r:id="rId19"/>
    <sheet name="20 équ.V+" sheetId="12" r:id="rId20"/>
    <sheet name="21 équ+." sheetId="30" r:id="rId21"/>
    <sheet name="22 équi." sheetId="33" r:id="rId22"/>
  </sheets>
  <definedNames>
    <definedName name="_xlnm.Print_Area" localSheetId="9">'10 équ.Vok+'!$A$1:$AQ$38</definedName>
    <definedName name="_xlnm.Print_Area" localSheetId="10">'11 équ.Vok+'!$A$1:$AT$37</definedName>
    <definedName name="_xlnm.Print_Area" localSheetId="11">'12 équ.Vok+'!$A$1:$AT$35</definedName>
    <definedName name="_xlnm.Print_Area" localSheetId="12">'13 équ.Vok+'!$A$1:$AS$37</definedName>
    <definedName name="_xlnm.Print_Area" localSheetId="13">'14 équ.Vok+'!$A$1:$AR$38</definedName>
    <definedName name="_xlnm.Print_Area" localSheetId="14">'15 équ.Vok+'!$A$1:$AQ$38</definedName>
    <definedName name="_xlnm.Print_Area" localSheetId="15">'16 équ.Vok+'!$A$1:$AS$33</definedName>
    <definedName name="_xlnm.Print_Area" localSheetId="16">'17 équ.Vok+'!$A$1:$AR$35</definedName>
    <definedName name="_xlnm.Print_Area" localSheetId="17">'18 équ.Vok+'!$A$1:$AS$37</definedName>
    <definedName name="_xlnm.Print_Area" localSheetId="18">'19 équ.Vok+'!$A$1:$AS$39</definedName>
    <definedName name="_xlnm.Print_Area" localSheetId="4">'5 équ.Vok+'!$A$1:$AK$29</definedName>
    <definedName name="_xlnm.Print_Area" localSheetId="5">'6 équ.Vok+'!$A$1:$AM$35</definedName>
    <definedName name="_xlnm.Print_Area" localSheetId="8">'9 équ.Vok+'!$A$1:$AR$33</definedName>
    <definedName name="_xlnm.Print_Area" localSheetId="2">Formules!$A$1:$AA$28</definedName>
    <definedName name="_xlnm.Print_Area" localSheetId="0">Règlement!$A$1:$L$133</definedName>
  </definedNames>
  <calcPr calcId="145621"/>
</workbook>
</file>

<file path=xl/calcChain.xml><?xml version="1.0" encoding="utf-8"?>
<calcChain xmlns="http://schemas.openxmlformats.org/spreadsheetml/2006/main">
  <c r="N12" i="22"/>
  <c r="N11"/>
  <c r="AF21" i="26"/>
  <c r="AF22" i="3"/>
  <c r="S9"/>
  <c r="S8"/>
  <c r="N7"/>
  <c r="N6"/>
  <c r="I10"/>
  <c r="I9"/>
  <c r="I8"/>
  <c r="I7"/>
  <c r="AE22" i="4"/>
  <c r="S8"/>
  <c r="S7"/>
  <c r="N7"/>
  <c r="N6"/>
  <c r="I12"/>
  <c r="I11"/>
  <c r="I10"/>
  <c r="I9"/>
  <c r="I8"/>
  <c r="I7"/>
  <c r="AK12"/>
  <c r="AK13" i="20"/>
  <c r="AK24" i="21"/>
  <c r="AQ16" i="5"/>
  <c r="AQ15"/>
  <c r="I16" i="6" l="1"/>
  <c r="I15"/>
  <c r="I14"/>
  <c r="I13"/>
  <c r="I12"/>
  <c r="I11"/>
  <c r="I10"/>
  <c r="I9"/>
  <c r="I8"/>
  <c r="I7"/>
  <c r="D103" i="23"/>
  <c r="D101"/>
  <c r="AK25" i="1"/>
  <c r="AK26" i="25"/>
  <c r="X20"/>
  <c r="I23" i="6" l="1"/>
  <c r="AK36" i="33"/>
  <c r="AQ27"/>
  <c r="AQ26"/>
  <c r="AQ25"/>
  <c r="AQ24"/>
  <c r="AQ23"/>
  <c r="X18"/>
  <c r="X17"/>
  <c r="S21"/>
  <c r="S20"/>
  <c r="S19"/>
  <c r="S18"/>
  <c r="S17"/>
  <c r="S16"/>
  <c r="X9"/>
  <c r="X8"/>
  <c r="S12"/>
  <c r="S11"/>
  <c r="S10"/>
  <c r="S9"/>
  <c r="S8"/>
  <c r="S7"/>
  <c r="N29"/>
  <c r="N28"/>
  <c r="N27"/>
  <c r="N26"/>
  <c r="N25"/>
  <c r="N24"/>
  <c r="N23"/>
  <c r="N22"/>
  <c r="N21"/>
  <c r="N20"/>
  <c r="N15"/>
  <c r="N14"/>
  <c r="N13"/>
  <c r="N12"/>
  <c r="N11"/>
  <c r="N10"/>
  <c r="N9"/>
  <c r="N8"/>
  <c r="N7"/>
  <c r="N6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AQ27" i="30"/>
  <c r="AK37"/>
  <c r="X9"/>
  <c r="X8"/>
  <c r="S12"/>
  <c r="S11"/>
  <c r="S10"/>
  <c r="S9"/>
  <c r="S8"/>
  <c r="S7"/>
  <c r="N16"/>
  <c r="N15"/>
  <c r="N14"/>
  <c r="N13"/>
  <c r="N12"/>
  <c r="N11"/>
  <c r="N10"/>
  <c r="N9"/>
  <c r="N8"/>
  <c r="N7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AQ29"/>
  <c r="AQ28"/>
  <c r="AQ26"/>
  <c r="AQ25"/>
  <c r="AQ23" i="12"/>
  <c r="AK32"/>
  <c r="X8"/>
  <c r="X7"/>
  <c r="S11"/>
  <c r="S10"/>
  <c r="S9"/>
  <c r="S8"/>
  <c r="N15"/>
  <c r="N14"/>
  <c r="N13"/>
  <c r="N12"/>
  <c r="N11"/>
  <c r="N10"/>
  <c r="N9"/>
  <c r="N8"/>
  <c r="N7"/>
  <c r="N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AQ25"/>
  <c r="AQ24"/>
  <c r="AQ22"/>
  <c r="AQ21"/>
  <c r="AK32" i="29"/>
  <c r="X9"/>
  <c r="X8"/>
  <c r="S11"/>
  <c r="S10"/>
  <c r="S9"/>
  <c r="S8"/>
  <c r="N15"/>
  <c r="N14"/>
  <c r="N13"/>
  <c r="N12"/>
  <c r="N11"/>
  <c r="N10"/>
  <c r="N9"/>
  <c r="N8"/>
  <c r="N7"/>
  <c r="N6"/>
  <c r="I23"/>
  <c r="I22"/>
  <c r="I21"/>
  <c r="I20"/>
  <c r="I19"/>
  <c r="I18"/>
  <c r="I17"/>
  <c r="I16"/>
  <c r="I15"/>
  <c r="I14"/>
  <c r="I13"/>
  <c r="I12"/>
  <c r="I11"/>
  <c r="I10"/>
  <c r="I9"/>
  <c r="I8"/>
  <c r="I7"/>
  <c r="I6"/>
  <c r="AQ24"/>
  <c r="AQ23"/>
  <c r="AQ22"/>
  <c r="AQ21"/>
  <c r="AK32" i="27"/>
  <c r="AQ23"/>
  <c r="AQ22"/>
  <c r="AQ21"/>
  <c r="AQ20"/>
  <c r="X8"/>
  <c r="X7"/>
  <c r="S11"/>
  <c r="S10"/>
  <c r="S9"/>
  <c r="S8"/>
  <c r="N13"/>
  <c r="N12"/>
  <c r="N11"/>
  <c r="N10"/>
  <c r="N9"/>
  <c r="N8"/>
  <c r="N7"/>
  <c r="N6"/>
  <c r="I23"/>
  <c r="I22"/>
  <c r="I21"/>
  <c r="I20"/>
  <c r="I19"/>
  <c r="I18"/>
  <c r="I17"/>
  <c r="I16"/>
  <c r="I15"/>
  <c r="I14"/>
  <c r="I13"/>
  <c r="I12"/>
  <c r="I11"/>
  <c r="I10"/>
  <c r="I9"/>
  <c r="I8"/>
  <c r="I7"/>
  <c r="I6"/>
  <c r="AK30" i="11"/>
  <c r="AQ22"/>
  <c r="AQ21"/>
  <c r="AQ20"/>
  <c r="AQ19"/>
  <c r="X9"/>
  <c r="X8"/>
  <c r="S11"/>
  <c r="S10"/>
  <c r="S7"/>
  <c r="S6"/>
  <c r="N13"/>
  <c r="N12"/>
  <c r="N11"/>
  <c r="N10"/>
  <c r="N9"/>
  <c r="N8"/>
  <c r="N7"/>
  <c r="N6"/>
  <c r="I21"/>
  <c r="I20"/>
  <c r="I19"/>
  <c r="I18"/>
  <c r="I17"/>
  <c r="I16"/>
  <c r="I15"/>
  <c r="I14"/>
  <c r="I13"/>
  <c r="I12"/>
  <c r="I11"/>
  <c r="I10"/>
  <c r="I9"/>
  <c r="I8"/>
  <c r="I7"/>
  <c r="I6"/>
  <c r="AE21" i="20"/>
  <c r="S17"/>
  <c r="S16"/>
  <c r="S12"/>
  <c r="S11"/>
  <c r="S7"/>
  <c r="S6"/>
  <c r="N14"/>
  <c r="N13"/>
  <c r="N9"/>
  <c r="N8"/>
  <c r="N7"/>
  <c r="N6"/>
  <c r="I12"/>
  <c r="I11"/>
  <c r="I10"/>
  <c r="I9"/>
  <c r="I8"/>
  <c r="I7"/>
  <c r="S17" i="26"/>
  <c r="S16"/>
  <c r="S12"/>
  <c r="S11"/>
  <c r="S7"/>
  <c r="S6"/>
  <c r="N16"/>
  <c r="N15"/>
  <c r="N14"/>
  <c r="N13"/>
  <c r="N9"/>
  <c r="N8"/>
  <c r="N7"/>
  <c r="N6"/>
  <c r="I14"/>
  <c r="I13"/>
  <c r="I12"/>
  <c r="I11"/>
  <c r="I10"/>
  <c r="I9"/>
  <c r="I8"/>
  <c r="I7"/>
  <c r="AK14"/>
  <c r="AK13"/>
  <c r="S19" i="21"/>
  <c r="S18"/>
  <c r="S9"/>
  <c r="S8"/>
  <c r="N18"/>
  <c r="N17"/>
  <c r="N16"/>
  <c r="N15"/>
  <c r="N11"/>
  <c r="N10"/>
  <c r="N7"/>
  <c r="N6"/>
  <c r="X14"/>
  <c r="X13"/>
  <c r="X8"/>
  <c r="X7"/>
  <c r="I14"/>
  <c r="I13"/>
  <c r="I12"/>
  <c r="I11"/>
  <c r="I10"/>
  <c r="I9"/>
  <c r="I8"/>
  <c r="I7"/>
  <c r="AQ15"/>
  <c r="AQ14"/>
  <c r="S9" i="5"/>
  <c r="S8"/>
  <c r="AK25"/>
  <c r="I16"/>
  <c r="I15"/>
  <c r="I14"/>
  <c r="I13"/>
  <c r="I12"/>
  <c r="I11"/>
  <c r="I10"/>
  <c r="I9"/>
  <c r="I8"/>
  <c r="I7"/>
  <c r="X20"/>
  <c r="X19"/>
  <c r="X14"/>
  <c r="X13"/>
  <c r="X8"/>
  <c r="X7"/>
  <c r="N18"/>
  <c r="N17"/>
  <c r="N16"/>
  <c r="N15"/>
  <c r="N9"/>
  <c r="N8"/>
  <c r="N7"/>
  <c r="N6"/>
  <c r="AK25" i="6"/>
  <c r="N18"/>
  <c r="N17"/>
  <c r="N16"/>
  <c r="N15"/>
  <c r="S21"/>
  <c r="S20"/>
  <c r="S15"/>
  <c r="S14"/>
  <c r="AQ17"/>
  <c r="AQ16"/>
  <c r="AQ17" i="1"/>
  <c r="AQ18"/>
  <c r="AQ16"/>
  <c r="X20" i="6"/>
  <c r="X19"/>
  <c r="X14"/>
  <c r="X13"/>
  <c r="X8"/>
  <c r="X7"/>
  <c r="S9"/>
  <c r="S8"/>
  <c r="N11"/>
  <c r="N10"/>
  <c r="N9"/>
  <c r="N8"/>
  <c r="N7"/>
  <c r="N6"/>
  <c r="X8" i="1"/>
  <c r="X7"/>
  <c r="S7"/>
  <c r="S6"/>
  <c r="N11"/>
  <c r="N10"/>
  <c r="N9"/>
  <c r="N8"/>
  <c r="N7"/>
  <c r="N6"/>
  <c r="I18"/>
  <c r="I17"/>
  <c r="I16"/>
  <c r="I15"/>
  <c r="I14"/>
  <c r="I13"/>
  <c r="I12"/>
  <c r="I11"/>
  <c r="I10"/>
  <c r="I9"/>
  <c r="I8"/>
  <c r="I7"/>
  <c r="AQ18" i="22"/>
  <c r="AQ17"/>
  <c r="AQ16"/>
  <c r="X8"/>
  <c r="X7"/>
  <c r="N20"/>
  <c r="N19"/>
  <c r="N18"/>
  <c r="N17"/>
  <c r="N16"/>
  <c r="X21" i="7"/>
  <c r="X20"/>
  <c r="X15"/>
  <c r="X14"/>
  <c r="S22"/>
  <c r="S21"/>
  <c r="S16"/>
  <c r="S15"/>
  <c r="S14"/>
  <c r="S13"/>
  <c r="N21"/>
  <c r="N20"/>
  <c r="N19"/>
  <c r="N18"/>
  <c r="N17"/>
  <c r="N16"/>
  <c r="X19" i="25"/>
  <c r="X14"/>
  <c r="X13"/>
  <c r="N20"/>
  <c r="N19"/>
  <c r="N18"/>
  <c r="N17"/>
  <c r="N16"/>
  <c r="N15"/>
  <c r="S21"/>
  <c r="S20"/>
  <c r="S19"/>
  <c r="S18"/>
  <c r="S15"/>
  <c r="S14"/>
  <c r="S13"/>
  <c r="S12"/>
  <c r="S9" i="22"/>
  <c r="S8"/>
  <c r="S7"/>
  <c r="S6"/>
  <c r="N7"/>
  <c r="N6"/>
  <c r="N5"/>
  <c r="I17"/>
  <c r="I16"/>
  <c r="I15"/>
  <c r="I14"/>
  <c r="I13"/>
  <c r="I12"/>
  <c r="I11"/>
  <c r="I10"/>
  <c r="I9"/>
  <c r="I8"/>
  <c r="I7"/>
  <c r="I6"/>
  <c r="AQ19" i="7"/>
  <c r="AQ18"/>
  <c r="AQ17"/>
  <c r="AQ20" i="25"/>
  <c r="AQ19"/>
  <c r="AQ18"/>
  <c r="S10" i="7"/>
  <c r="S9"/>
  <c r="S8"/>
  <c r="S7"/>
  <c r="X7" i="25"/>
  <c r="X8"/>
  <c r="S9"/>
  <c r="S8"/>
  <c r="S7"/>
  <c r="S6"/>
  <c r="N13"/>
  <c r="N12"/>
  <c r="N11"/>
  <c r="N10"/>
  <c r="N9"/>
  <c r="N8"/>
  <c r="N7"/>
  <c r="N6"/>
  <c r="X9" i="7"/>
  <c r="X8"/>
  <c r="N11"/>
  <c r="N10"/>
  <c r="N9"/>
  <c r="N8"/>
  <c r="N6"/>
  <c r="N7"/>
  <c r="I21"/>
  <c r="I20"/>
  <c r="I19"/>
  <c r="I18"/>
  <c r="I17"/>
  <c r="I16"/>
  <c r="I15"/>
  <c r="I14"/>
  <c r="I13"/>
  <c r="I12"/>
  <c r="I11"/>
  <c r="I10"/>
  <c r="I9"/>
  <c r="I8"/>
  <c r="I19" i="25"/>
  <c r="I18"/>
  <c r="I17"/>
  <c r="I16"/>
  <c r="I15"/>
  <c r="I14"/>
  <c r="I13"/>
  <c r="I12"/>
  <c r="I11"/>
  <c r="I10"/>
  <c r="I9"/>
  <c r="I8"/>
  <c r="I7"/>
  <c r="I6"/>
  <c r="I21" i="10"/>
  <c r="I20"/>
  <c r="I19"/>
  <c r="I18"/>
  <c r="I17"/>
  <c r="I16"/>
  <c r="I15"/>
  <c r="I14"/>
  <c r="I13"/>
  <c r="I12"/>
  <c r="I11"/>
  <c r="I10"/>
  <c r="I9"/>
  <c r="I8"/>
  <c r="I7"/>
  <c r="I6"/>
  <c r="N34" i="33" l="1"/>
  <c r="I30" i="27"/>
  <c r="I22" i="21"/>
  <c r="X22"/>
  <c r="I34" i="30"/>
  <c r="S22" i="21"/>
  <c r="N23" i="5"/>
  <c r="N22" i="21"/>
  <c r="AQ24" i="11"/>
  <c r="X14" i="10"/>
  <c r="X13"/>
  <c r="X20"/>
  <c r="X19"/>
  <c r="S21"/>
  <c r="S20"/>
  <c r="S19"/>
  <c r="S18"/>
  <c r="S15"/>
  <c r="S14"/>
  <c r="S13"/>
  <c r="S12"/>
  <c r="N22"/>
  <c r="N21"/>
  <c r="N20"/>
  <c r="N19"/>
  <c r="N18"/>
  <c r="N17"/>
  <c r="N16"/>
  <c r="N15"/>
  <c r="AK26"/>
  <c r="X8"/>
  <c r="X7"/>
  <c r="S9"/>
  <c r="S8"/>
  <c r="S7"/>
  <c r="S6"/>
  <c r="N13"/>
  <c r="N12"/>
  <c r="N11"/>
  <c r="N10"/>
  <c r="N9"/>
  <c r="N8"/>
  <c r="N7"/>
  <c r="N6"/>
  <c r="H11" i="12"/>
  <c r="H10"/>
  <c r="H29" i="33"/>
  <c r="M16" s="1"/>
  <c r="R12" s="1"/>
  <c r="S28"/>
  <c r="H28"/>
  <c r="M30" s="1"/>
  <c r="AB27"/>
  <c r="X27"/>
  <c r="S27"/>
  <c r="H27"/>
  <c r="M29" s="1"/>
  <c r="AB26"/>
  <c r="X26"/>
  <c r="X34" s="1"/>
  <c r="S26"/>
  <c r="H26"/>
  <c r="M15" s="1"/>
  <c r="R29" s="1"/>
  <c r="W27" s="1"/>
  <c r="AB25"/>
  <c r="S25"/>
  <c r="H25"/>
  <c r="AB24"/>
  <c r="H24"/>
  <c r="M14" s="1"/>
  <c r="R8" s="1"/>
  <c r="AB23"/>
  <c r="H23"/>
  <c r="M27" s="1"/>
  <c r="AB22"/>
  <c r="H22"/>
  <c r="M13" s="1"/>
  <c r="R28" s="1"/>
  <c r="AB21"/>
  <c r="H21"/>
  <c r="AB20"/>
  <c r="H20"/>
  <c r="M12" s="1"/>
  <c r="R11" s="1"/>
  <c r="W9" s="1"/>
  <c r="AB19"/>
  <c r="H19"/>
  <c r="AB18"/>
  <c r="H18"/>
  <c r="M11" s="1"/>
  <c r="R27" s="1"/>
  <c r="W26" s="1"/>
  <c r="AB17"/>
  <c r="H17"/>
  <c r="AB16"/>
  <c r="H16"/>
  <c r="M10" s="1"/>
  <c r="R10" s="1"/>
  <c r="AB15"/>
  <c r="H15"/>
  <c r="AB14"/>
  <c r="H14"/>
  <c r="M9" s="1"/>
  <c r="R26" s="1"/>
  <c r="AB13"/>
  <c r="H13"/>
  <c r="AB12"/>
  <c r="H12"/>
  <c r="M8" s="1"/>
  <c r="R9" s="1"/>
  <c r="W8" s="1"/>
  <c r="AB11"/>
  <c r="H11"/>
  <c r="M21" s="1"/>
  <c r="AB10"/>
  <c r="H10"/>
  <c r="M7" s="1"/>
  <c r="R25" s="1"/>
  <c r="W29" s="1"/>
  <c r="AB9"/>
  <c r="H9"/>
  <c r="AB8"/>
  <c r="I34"/>
  <c r="H8"/>
  <c r="AB7"/>
  <c r="AB6"/>
  <c r="M20" i="12"/>
  <c r="H6"/>
  <c r="H7"/>
  <c r="H8"/>
  <c r="H9"/>
  <c r="AC26" i="33" l="1"/>
  <c r="S34"/>
  <c r="R21"/>
  <c r="W18" s="1"/>
  <c r="AC7"/>
  <c r="M23"/>
  <c r="M24"/>
  <c r="R18" s="1"/>
  <c r="W17" s="1"/>
  <c r="M25"/>
  <c r="M6"/>
  <c r="R7" s="1"/>
  <c r="W11" s="1"/>
  <c r="M20"/>
  <c r="M22"/>
  <c r="R17" s="1"/>
  <c r="M26"/>
  <c r="R19" s="1"/>
  <c r="M28"/>
  <c r="R20" s="1"/>
  <c r="AK34"/>
  <c r="AC6"/>
  <c r="AC8"/>
  <c r="AC9"/>
  <c r="AC12"/>
  <c r="AD13"/>
  <c r="AC14"/>
  <c r="AC15"/>
  <c r="AC16"/>
  <c r="AC18"/>
  <c r="AC20"/>
  <c r="AC21"/>
  <c r="AC23"/>
  <c r="AC25"/>
  <c r="AC27"/>
  <c r="AD8"/>
  <c r="AC10"/>
  <c r="AC11"/>
  <c r="AD12"/>
  <c r="AC13"/>
  <c r="AC17"/>
  <c r="AC19"/>
  <c r="AC22"/>
  <c r="AC24"/>
  <c r="AD20" l="1"/>
  <c r="AD16"/>
  <c r="AD22"/>
  <c r="AD27"/>
  <c r="AD14"/>
  <c r="AD11"/>
  <c r="AD18"/>
  <c r="AD9"/>
  <c r="AD24"/>
  <c r="AD10"/>
  <c r="AD6"/>
  <c r="AD7"/>
  <c r="R16"/>
  <c r="AE13" s="1"/>
  <c r="AD23"/>
  <c r="AD19"/>
  <c r="AE7"/>
  <c r="AD26"/>
  <c r="AD17"/>
  <c r="AE11"/>
  <c r="AE19"/>
  <c r="AE24"/>
  <c r="AD25"/>
  <c r="AD21"/>
  <c r="AD15"/>
  <c r="AE27"/>
  <c r="AE25"/>
  <c r="AE23"/>
  <c r="AE21"/>
  <c r="AE20"/>
  <c r="AE16"/>
  <c r="AE15"/>
  <c r="AE12"/>
  <c r="AE9"/>
  <c r="AE8"/>
  <c r="AE17"/>
  <c r="AC28"/>
  <c r="N30" i="30"/>
  <c r="N29"/>
  <c r="H29"/>
  <c r="AB30"/>
  <c r="S28"/>
  <c r="N28"/>
  <c r="H28"/>
  <c r="M16" s="1"/>
  <c r="AB29"/>
  <c r="X27"/>
  <c r="S27"/>
  <c r="N27"/>
  <c r="H27"/>
  <c r="M30" s="1"/>
  <c r="AB28"/>
  <c r="X26"/>
  <c r="S26"/>
  <c r="N26"/>
  <c r="H26"/>
  <c r="M17" s="1"/>
  <c r="AB27"/>
  <c r="S25"/>
  <c r="N25"/>
  <c r="H25"/>
  <c r="M29" s="1"/>
  <c r="R19" s="1"/>
  <c r="AB26"/>
  <c r="N24"/>
  <c r="H24"/>
  <c r="AB25"/>
  <c r="N23"/>
  <c r="H23"/>
  <c r="M28" s="1"/>
  <c r="AB24"/>
  <c r="N22"/>
  <c r="H22"/>
  <c r="AB23"/>
  <c r="N21"/>
  <c r="H21"/>
  <c r="M27" s="1"/>
  <c r="R18" s="1"/>
  <c r="W17" s="1"/>
  <c r="AB22"/>
  <c r="H20"/>
  <c r="M13" s="1"/>
  <c r="R10" s="1"/>
  <c r="AB21"/>
  <c r="H19"/>
  <c r="AB20"/>
  <c r="S19"/>
  <c r="H18"/>
  <c r="M12" s="1"/>
  <c r="R27" s="1"/>
  <c r="AB19"/>
  <c r="X18"/>
  <c r="S18"/>
  <c r="H17"/>
  <c r="M25" s="1"/>
  <c r="AB18"/>
  <c r="X17"/>
  <c r="S17"/>
  <c r="H16"/>
  <c r="M11" s="1"/>
  <c r="R9" s="1"/>
  <c r="AB17"/>
  <c r="S16"/>
  <c r="M15"/>
  <c r="R11" s="1"/>
  <c r="H15"/>
  <c r="AB16"/>
  <c r="M14"/>
  <c r="R29" s="1"/>
  <c r="W27" s="1"/>
  <c r="H14"/>
  <c r="AB15"/>
  <c r="H13"/>
  <c r="AB14"/>
  <c r="H12"/>
  <c r="M9" s="1"/>
  <c r="AB13"/>
  <c r="H11"/>
  <c r="M22" s="1"/>
  <c r="AB12"/>
  <c r="M10"/>
  <c r="R26" s="1"/>
  <c r="H10"/>
  <c r="AB11"/>
  <c r="H9"/>
  <c r="M21" s="1"/>
  <c r="AB10"/>
  <c r="H8"/>
  <c r="AB9"/>
  <c r="X25" i="12"/>
  <c r="X24"/>
  <c r="X17"/>
  <c r="X16"/>
  <c r="S25"/>
  <c r="S24"/>
  <c r="S23"/>
  <c r="S22"/>
  <c r="S17"/>
  <c r="S16"/>
  <c r="S15"/>
  <c r="S14"/>
  <c r="N27"/>
  <c r="N26"/>
  <c r="N25"/>
  <c r="N24"/>
  <c r="N23"/>
  <c r="N22"/>
  <c r="N21"/>
  <c r="N20"/>
  <c r="N19"/>
  <c r="N18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X25" i="29"/>
  <c r="X24"/>
  <c r="X17"/>
  <c r="X16"/>
  <c r="S25"/>
  <c r="S24"/>
  <c r="S23"/>
  <c r="S22"/>
  <c r="S17"/>
  <c r="S16"/>
  <c r="S15"/>
  <c r="S14"/>
  <c r="N25"/>
  <c r="N24"/>
  <c r="N23"/>
  <c r="N22"/>
  <c r="N21"/>
  <c r="N20"/>
  <c r="N19"/>
  <c r="N18"/>
  <c r="AB24"/>
  <c r="AB25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X26" i="27"/>
  <c r="AR30"/>
  <c r="X25"/>
  <c r="X17"/>
  <c r="X16"/>
  <c r="S27"/>
  <c r="S26"/>
  <c r="S25"/>
  <c r="S24"/>
  <c r="S17"/>
  <c r="S16"/>
  <c r="S15"/>
  <c r="S14"/>
  <c r="N25"/>
  <c r="N24"/>
  <c r="N23"/>
  <c r="N22"/>
  <c r="N21"/>
  <c r="N20"/>
  <c r="N19"/>
  <c r="N18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X24" i="11"/>
  <c r="X23"/>
  <c r="X17"/>
  <c r="X16"/>
  <c r="S25"/>
  <c r="S24"/>
  <c r="S23"/>
  <c r="S22"/>
  <c r="S18"/>
  <c r="S17"/>
  <c r="S16"/>
  <c r="S15"/>
  <c r="N25"/>
  <c r="N24"/>
  <c r="N23"/>
  <c r="N22"/>
  <c r="N21"/>
  <c r="N20"/>
  <c r="N19"/>
  <c r="N18"/>
  <c r="AB22"/>
  <c r="AB23"/>
  <c r="AB21"/>
  <c r="AB20"/>
  <c r="AB19"/>
  <c r="AB18"/>
  <c r="AB17"/>
  <c r="AB16"/>
  <c r="AB15"/>
  <c r="AB14"/>
  <c r="AB13"/>
  <c r="AB12"/>
  <c r="AB11"/>
  <c r="AB10"/>
  <c r="AB9"/>
  <c r="AB8"/>
  <c r="AB7"/>
  <c r="AB6"/>
  <c r="AB21" i="10"/>
  <c r="AB20"/>
  <c r="AB19"/>
  <c r="AB18"/>
  <c r="AB17"/>
  <c r="AB16"/>
  <c r="AB15"/>
  <c r="AB14"/>
  <c r="AB13"/>
  <c r="AB12"/>
  <c r="AB11"/>
  <c r="AB10"/>
  <c r="AB9"/>
  <c r="AB8"/>
  <c r="AB7"/>
  <c r="AB6"/>
  <c r="AB8" i="25"/>
  <c r="AB9"/>
  <c r="AB10"/>
  <c r="AB11"/>
  <c r="AB12"/>
  <c r="AB13"/>
  <c r="AB14"/>
  <c r="AB15"/>
  <c r="AB16"/>
  <c r="AB17"/>
  <c r="AB18"/>
  <c r="AB19"/>
  <c r="AB20"/>
  <c r="AB21"/>
  <c r="AB7"/>
  <c r="AB6"/>
  <c r="N24"/>
  <c r="AB8" i="7"/>
  <c r="AB9"/>
  <c r="AB10"/>
  <c r="AB11"/>
  <c r="AB12"/>
  <c r="AB13"/>
  <c r="AB14"/>
  <c r="AB15"/>
  <c r="AB16"/>
  <c r="AB17"/>
  <c r="AB18"/>
  <c r="AB19"/>
  <c r="AB7"/>
  <c r="AB6"/>
  <c r="AB19" i="22"/>
  <c r="AB8"/>
  <c r="AB9"/>
  <c r="AB10"/>
  <c r="AB11"/>
  <c r="AB12"/>
  <c r="AB13"/>
  <c r="AB14"/>
  <c r="AB15"/>
  <c r="AB16"/>
  <c r="AB17"/>
  <c r="AB18"/>
  <c r="AB7"/>
  <c r="AB6"/>
  <c r="X20"/>
  <c r="X19"/>
  <c r="X14"/>
  <c r="X13"/>
  <c r="S21"/>
  <c r="S20"/>
  <c r="S13"/>
  <c r="S12"/>
  <c r="N21"/>
  <c r="AB18" i="1"/>
  <c r="AB17"/>
  <c r="AB16"/>
  <c r="AB15"/>
  <c r="AB14"/>
  <c r="AB13"/>
  <c r="AB12"/>
  <c r="AB11"/>
  <c r="AB10"/>
  <c r="AB9"/>
  <c r="AB8"/>
  <c r="AB7"/>
  <c r="X20"/>
  <c r="X19"/>
  <c r="X14"/>
  <c r="X13"/>
  <c r="S19"/>
  <c r="S18"/>
  <c r="S13"/>
  <c r="S12"/>
  <c r="N20"/>
  <c r="N19"/>
  <c r="N18"/>
  <c r="N17"/>
  <c r="N16"/>
  <c r="N15"/>
  <c r="X30" i="29" l="1"/>
  <c r="AE26" i="33"/>
  <c r="W20"/>
  <c r="AE6"/>
  <c r="AE22"/>
  <c r="AE14"/>
  <c r="AE18"/>
  <c r="AE10"/>
  <c r="W8" i="30"/>
  <c r="R8"/>
  <c r="R28"/>
  <c r="W26" s="1"/>
  <c r="X34"/>
  <c r="S34"/>
  <c r="N35"/>
  <c r="R20"/>
  <c r="W18" s="1"/>
  <c r="I30" i="29"/>
  <c r="AF7" i="33"/>
  <c r="AF17"/>
  <c r="AG17" s="1"/>
  <c r="AF22"/>
  <c r="AG22" s="1"/>
  <c r="AF24"/>
  <c r="AF26"/>
  <c r="AG26" s="1"/>
  <c r="AF8"/>
  <c r="AG8" s="1"/>
  <c r="AF12"/>
  <c r="AG12" s="1"/>
  <c r="AG24"/>
  <c r="AF14"/>
  <c r="AG14" s="1"/>
  <c r="AF21"/>
  <c r="AG21" s="1"/>
  <c r="AF25"/>
  <c r="AG25" s="1"/>
  <c r="AF27"/>
  <c r="AG27" s="1"/>
  <c r="AE28"/>
  <c r="AD28"/>
  <c r="R17" i="30"/>
  <c r="M26"/>
  <c r="AC29"/>
  <c r="AC27"/>
  <c r="AC25"/>
  <c r="AC23"/>
  <c r="AC21"/>
  <c r="AC19"/>
  <c r="AC17"/>
  <c r="AC15"/>
  <c r="AC13"/>
  <c r="AC11"/>
  <c r="R12"/>
  <c r="W9" s="1"/>
  <c r="M8"/>
  <c r="R25" s="1"/>
  <c r="W29" s="1"/>
  <c r="AC30"/>
  <c r="AC28"/>
  <c r="AC26"/>
  <c r="AC24"/>
  <c r="AC22"/>
  <c r="AC20"/>
  <c r="AC18"/>
  <c r="AC16"/>
  <c r="AC14"/>
  <c r="AC12"/>
  <c r="AC10"/>
  <c r="M7"/>
  <c r="R7" s="1"/>
  <c r="M23"/>
  <c r="R16" s="1"/>
  <c r="W20" s="1"/>
  <c r="M24"/>
  <c r="AC9"/>
  <c r="AB17" i="6"/>
  <c r="AB18"/>
  <c r="AB16"/>
  <c r="AB15"/>
  <c r="AB14"/>
  <c r="AB13"/>
  <c r="AB12"/>
  <c r="AB11"/>
  <c r="AB10"/>
  <c r="AB9"/>
  <c r="AB8"/>
  <c r="AB7"/>
  <c r="AB16" i="5"/>
  <c r="AB15"/>
  <c r="AB14"/>
  <c r="AB13"/>
  <c r="AB12"/>
  <c r="AB11"/>
  <c r="AB10"/>
  <c r="AB9"/>
  <c r="AB8"/>
  <c r="AB7"/>
  <c r="S15"/>
  <c r="S14"/>
  <c r="AB8" i="21"/>
  <c r="AB9"/>
  <c r="AB10"/>
  <c r="AB11"/>
  <c r="AB12"/>
  <c r="AB13"/>
  <c r="AB14"/>
  <c r="AB15"/>
  <c r="AB16"/>
  <c r="AB7"/>
  <c r="H14" i="26"/>
  <c r="M16" s="1"/>
  <c r="H13"/>
  <c r="M9" s="1"/>
  <c r="R17" s="1"/>
  <c r="H12"/>
  <c r="M15" s="1"/>
  <c r="R11" s="1"/>
  <c r="H11"/>
  <c r="M8" s="1"/>
  <c r="R7" s="1"/>
  <c r="H10"/>
  <c r="M14" s="1"/>
  <c r="H9"/>
  <c r="M7" s="1"/>
  <c r="R16" s="1"/>
  <c r="H8"/>
  <c r="H7"/>
  <c r="M13" s="1"/>
  <c r="R12" s="1"/>
  <c r="W14"/>
  <c r="W13"/>
  <c r="W12"/>
  <c r="W11"/>
  <c r="W10"/>
  <c r="W9"/>
  <c r="W8"/>
  <c r="W7"/>
  <c r="W9" i="20"/>
  <c r="W10"/>
  <c r="W11"/>
  <c r="W12"/>
  <c r="W13"/>
  <c r="W14"/>
  <c r="W8"/>
  <c r="W7"/>
  <c r="AF18" i="33" l="1"/>
  <c r="AF16"/>
  <c r="AG16" s="1"/>
  <c r="AF20"/>
  <c r="AG20" s="1"/>
  <c r="AF9"/>
  <c r="AG9" s="1"/>
  <c r="AF19"/>
  <c r="AG19" s="1"/>
  <c r="AF10"/>
  <c r="AG10" s="1"/>
  <c r="AF6"/>
  <c r="AG6" s="1"/>
  <c r="AF15"/>
  <c r="AG15" s="1"/>
  <c r="AF23"/>
  <c r="AG23" s="1"/>
  <c r="AF13"/>
  <c r="AG13" s="1"/>
  <c r="AF11"/>
  <c r="AG11" s="1"/>
  <c r="AG18"/>
  <c r="M6" i="26"/>
  <c r="R6" s="1"/>
  <c r="AE21" i="30"/>
  <c r="AG7" i="33"/>
  <c r="AK35" i="30"/>
  <c r="AE9"/>
  <c r="W11"/>
  <c r="AF28" s="1"/>
  <c r="AE25"/>
  <c r="AE15"/>
  <c r="AE11"/>
  <c r="AE13"/>
  <c r="AE17"/>
  <c r="AD9"/>
  <c r="AD30"/>
  <c r="AD25"/>
  <c r="AD19"/>
  <c r="AD16"/>
  <c r="AD14"/>
  <c r="AD12"/>
  <c r="AD10"/>
  <c r="AD29"/>
  <c r="AD26"/>
  <c r="AD22"/>
  <c r="AD20"/>
  <c r="AF23"/>
  <c r="AD28"/>
  <c r="AD23"/>
  <c r="AD18"/>
  <c r="AD15"/>
  <c r="AD13"/>
  <c r="AD11"/>
  <c r="AD27"/>
  <c r="AD24"/>
  <c r="AD21"/>
  <c r="AD17"/>
  <c r="AE12"/>
  <c r="AE10"/>
  <c r="AE29"/>
  <c r="AE28"/>
  <c r="AE27"/>
  <c r="AE26"/>
  <c r="AE24"/>
  <c r="AE23"/>
  <c r="AE22"/>
  <c r="AE20"/>
  <c r="AE19"/>
  <c r="AE14"/>
  <c r="AE16"/>
  <c r="AE18"/>
  <c r="AE30"/>
  <c r="AC31"/>
  <c r="Y14" i="26"/>
  <c r="Y7"/>
  <c r="Y11"/>
  <c r="Y9"/>
  <c r="Z27" i="32"/>
  <c r="Z26"/>
  <c r="Z25"/>
  <c r="Z24"/>
  <c r="Z23"/>
  <c r="Z22"/>
  <c r="X27"/>
  <c r="X26"/>
  <c r="X25"/>
  <c r="X24"/>
  <c r="X23"/>
  <c r="X22"/>
  <c r="N25"/>
  <c r="M25"/>
  <c r="N24"/>
  <c r="M24"/>
  <c r="Y7"/>
  <c r="S12"/>
  <c r="V12" s="1"/>
  <c r="S11"/>
  <c r="S10"/>
  <c r="S9"/>
  <c r="S8"/>
  <c r="S7"/>
  <c r="N13"/>
  <c r="N12"/>
  <c r="N7"/>
  <c r="M7"/>
  <c r="N6"/>
  <c r="H11"/>
  <c r="I10"/>
  <c r="H10"/>
  <c r="I9"/>
  <c r="H9"/>
  <c r="I8"/>
  <c r="H8"/>
  <c r="I7"/>
  <c r="H7"/>
  <c r="W9" i="3"/>
  <c r="W10"/>
  <c r="W11"/>
  <c r="W12"/>
  <c r="W8"/>
  <c r="W7"/>
  <c r="N13"/>
  <c r="N12"/>
  <c r="S14" i="4"/>
  <c r="S13"/>
  <c r="N13"/>
  <c r="N12"/>
  <c r="W12"/>
  <c r="W11"/>
  <c r="W10"/>
  <c r="W9"/>
  <c r="W8"/>
  <c r="W7"/>
  <c r="M6" i="12"/>
  <c r="R7" s="1"/>
  <c r="H24" i="29"/>
  <c r="M15" s="1"/>
  <c r="R23" s="1"/>
  <c r="H23"/>
  <c r="M26" s="1"/>
  <c r="R15" s="1"/>
  <c r="W17" s="1"/>
  <c r="H22"/>
  <c r="H21"/>
  <c r="M25" s="1"/>
  <c r="H20"/>
  <c r="M13" s="1"/>
  <c r="R25" s="1"/>
  <c r="H19"/>
  <c r="M24" s="1"/>
  <c r="R17" s="1"/>
  <c r="H18"/>
  <c r="M12" s="1"/>
  <c r="R10" s="1"/>
  <c r="H17"/>
  <c r="M23" s="1"/>
  <c r="H16"/>
  <c r="H15"/>
  <c r="M22" s="1"/>
  <c r="R16" s="1"/>
  <c r="W16" s="1"/>
  <c r="M14"/>
  <c r="R11" s="1"/>
  <c r="W9" s="1"/>
  <c r="H14"/>
  <c r="M10" s="1"/>
  <c r="R9" s="1"/>
  <c r="H13"/>
  <c r="M21" s="1"/>
  <c r="H12"/>
  <c r="M11"/>
  <c r="R24" s="1"/>
  <c r="W25" s="1"/>
  <c r="H11"/>
  <c r="M20" s="1"/>
  <c r="H10"/>
  <c r="M8" s="1"/>
  <c r="M9"/>
  <c r="R26" s="1"/>
  <c r="H9"/>
  <c r="M19" s="1"/>
  <c r="H8"/>
  <c r="M7" s="1"/>
  <c r="R22" s="1"/>
  <c r="W24" s="1"/>
  <c r="H7"/>
  <c r="M18" s="1"/>
  <c r="R18" s="1"/>
  <c r="H6"/>
  <c r="H18" i="12"/>
  <c r="H10" i="11"/>
  <c r="M8" s="1"/>
  <c r="R6" s="1"/>
  <c r="H10" i="27"/>
  <c r="H23" i="12"/>
  <c r="H22"/>
  <c r="H21"/>
  <c r="H20"/>
  <c r="H19"/>
  <c r="H17"/>
  <c r="H16"/>
  <c r="H15"/>
  <c r="M22" s="1"/>
  <c r="R16" s="1"/>
  <c r="W16" s="1"/>
  <c r="H14"/>
  <c r="H13"/>
  <c r="M21" s="1"/>
  <c r="H12"/>
  <c r="M9" s="1"/>
  <c r="R23" s="1"/>
  <c r="M19"/>
  <c r="M18"/>
  <c r="R18" s="1"/>
  <c r="H25"/>
  <c r="M27" s="1"/>
  <c r="H24"/>
  <c r="M15" s="1"/>
  <c r="R26" s="1"/>
  <c r="M26"/>
  <c r="R15" s="1"/>
  <c r="M25"/>
  <c r="M24"/>
  <c r="R17" s="1"/>
  <c r="M12"/>
  <c r="R10" s="1"/>
  <c r="W8" s="1"/>
  <c r="M11"/>
  <c r="R24" s="1"/>
  <c r="W25" s="1"/>
  <c r="M10"/>
  <c r="R9" s="1"/>
  <c r="M8"/>
  <c r="R8" s="1"/>
  <c r="W7" s="1"/>
  <c r="M7"/>
  <c r="R22" s="1"/>
  <c r="W24" s="1"/>
  <c r="H22" i="11"/>
  <c r="M6" s="1"/>
  <c r="H21"/>
  <c r="M25" s="1"/>
  <c r="H20"/>
  <c r="M13" s="1"/>
  <c r="H19"/>
  <c r="M24" s="1"/>
  <c r="R18" s="1"/>
  <c r="H18"/>
  <c r="M12" s="1"/>
  <c r="R10" s="1"/>
  <c r="W9" s="1"/>
  <c r="H17"/>
  <c r="M23" s="1"/>
  <c r="H16"/>
  <c r="M11" s="1"/>
  <c r="R24" s="1"/>
  <c r="W24" s="1"/>
  <c r="H15"/>
  <c r="M22" s="1"/>
  <c r="R17" s="1"/>
  <c r="W16" s="1"/>
  <c r="H14"/>
  <c r="H13"/>
  <c r="M21" s="1"/>
  <c r="H12"/>
  <c r="M9" s="1"/>
  <c r="R23" s="1"/>
  <c r="H11"/>
  <c r="M20" s="1"/>
  <c r="M10"/>
  <c r="R8" s="1"/>
  <c r="H9"/>
  <c r="M19" s="1"/>
  <c r="H8"/>
  <c r="M7" s="1"/>
  <c r="R22" s="1"/>
  <c r="W23" s="1"/>
  <c r="H7"/>
  <c r="H6"/>
  <c r="H20" i="27"/>
  <c r="H19"/>
  <c r="M24" s="1"/>
  <c r="R17" s="1"/>
  <c r="H18"/>
  <c r="M12" s="1"/>
  <c r="R10" s="1"/>
  <c r="W8" s="1"/>
  <c r="H17"/>
  <c r="M23" s="1"/>
  <c r="H16"/>
  <c r="M11" s="1"/>
  <c r="R26" s="1"/>
  <c r="H15"/>
  <c r="M22" s="1"/>
  <c r="R16" s="1"/>
  <c r="W16" s="1"/>
  <c r="H14"/>
  <c r="M10" s="1"/>
  <c r="R9" s="1"/>
  <c r="H13"/>
  <c r="H12"/>
  <c r="M9" s="1"/>
  <c r="R25" s="1"/>
  <c r="H11"/>
  <c r="M20" s="1"/>
  <c r="M8"/>
  <c r="R8" s="1"/>
  <c r="W7" s="1"/>
  <c r="H9"/>
  <c r="M19" s="1"/>
  <c r="H8"/>
  <c r="M7" s="1"/>
  <c r="R24" s="1"/>
  <c r="H7"/>
  <c r="H6"/>
  <c r="H23"/>
  <c r="H22"/>
  <c r="H21"/>
  <c r="M25"/>
  <c r="M18"/>
  <c r="R18" s="1"/>
  <c r="H11" i="3"/>
  <c r="M7" s="1"/>
  <c r="H10"/>
  <c r="M13" s="1"/>
  <c r="H9"/>
  <c r="H8"/>
  <c r="M12" s="1"/>
  <c r="H7"/>
  <c r="H7" i="4"/>
  <c r="H12"/>
  <c r="H11"/>
  <c r="H10"/>
  <c r="H9"/>
  <c r="H8"/>
  <c r="H9" i="1"/>
  <c r="H10" i="6"/>
  <c r="H9"/>
  <c r="H8"/>
  <c r="M15" s="1"/>
  <c r="H16" i="5"/>
  <c r="M19" s="1"/>
  <c r="R15" s="1"/>
  <c r="H15"/>
  <c r="H13"/>
  <c r="M9" s="1"/>
  <c r="H14"/>
  <c r="M18" s="1"/>
  <c r="H12"/>
  <c r="M17" s="1"/>
  <c r="R14" s="1"/>
  <c r="H11"/>
  <c r="M8" s="1"/>
  <c r="H10"/>
  <c r="H9"/>
  <c r="M7" s="1"/>
  <c r="R18" s="1"/>
  <c r="W19" s="1"/>
  <c r="H8"/>
  <c r="M15" s="1"/>
  <c r="H16" i="21"/>
  <c r="H15"/>
  <c r="M10" s="1"/>
  <c r="H14"/>
  <c r="H13"/>
  <c r="M9" s="1"/>
  <c r="R8" s="1"/>
  <c r="H12"/>
  <c r="M17" s="1"/>
  <c r="R14" s="1"/>
  <c r="W14" s="1"/>
  <c r="H11"/>
  <c r="M11" s="1"/>
  <c r="R9" s="1"/>
  <c r="H10"/>
  <c r="M16" s="1"/>
  <c r="H9"/>
  <c r="H8"/>
  <c r="M15" s="1"/>
  <c r="H13" i="20"/>
  <c r="H12"/>
  <c r="M15" s="1"/>
  <c r="H11"/>
  <c r="M8" s="1"/>
  <c r="H10"/>
  <c r="H9"/>
  <c r="H8"/>
  <c r="H7" i="6"/>
  <c r="M6" s="1"/>
  <c r="H7" i="1"/>
  <c r="M6" s="1"/>
  <c r="H7" i="5"/>
  <c r="AC7" s="1"/>
  <c r="H7" i="21"/>
  <c r="H7" i="20"/>
  <c r="Y13" i="26"/>
  <c r="X7"/>
  <c r="Y8"/>
  <c r="Y10"/>
  <c r="Y12"/>
  <c r="I19"/>
  <c r="M18" i="21"/>
  <c r="M7"/>
  <c r="M10" i="5"/>
  <c r="R9" s="1"/>
  <c r="M16"/>
  <c r="H18" i="6"/>
  <c r="H17"/>
  <c r="H16"/>
  <c r="M19" s="1"/>
  <c r="R14" s="1"/>
  <c r="H15"/>
  <c r="M10" s="1"/>
  <c r="R9" s="1"/>
  <c r="H14"/>
  <c r="M18" s="1"/>
  <c r="H13"/>
  <c r="M9" s="1"/>
  <c r="H12"/>
  <c r="M17" s="1"/>
  <c r="M11"/>
  <c r="H11"/>
  <c r="M8" s="1"/>
  <c r="M16"/>
  <c r="R15" s="1"/>
  <c r="M7"/>
  <c r="R6" s="1"/>
  <c r="H20" i="7"/>
  <c r="H21"/>
  <c r="H18" i="1"/>
  <c r="M20" s="1"/>
  <c r="H17"/>
  <c r="H16"/>
  <c r="M19" s="1"/>
  <c r="R14" s="1"/>
  <c r="W13" s="1"/>
  <c r="H15"/>
  <c r="M10" s="1"/>
  <c r="H14"/>
  <c r="M18" s="1"/>
  <c r="H13"/>
  <c r="M9" s="1"/>
  <c r="H12"/>
  <c r="M17" s="1"/>
  <c r="R12" s="1"/>
  <c r="W14" s="1"/>
  <c r="H11"/>
  <c r="M8" s="1"/>
  <c r="R7" s="1"/>
  <c r="M11"/>
  <c r="R9" s="1"/>
  <c r="W8" s="1"/>
  <c r="H10"/>
  <c r="M16" s="1"/>
  <c r="H8"/>
  <c r="M15" s="1"/>
  <c r="R13" s="1"/>
  <c r="M7"/>
  <c r="R19" s="1"/>
  <c r="H19" i="22"/>
  <c r="H18"/>
  <c r="M12" s="1"/>
  <c r="H17"/>
  <c r="M21" s="1"/>
  <c r="H16"/>
  <c r="M11" s="1"/>
  <c r="H15"/>
  <c r="M20" s="1"/>
  <c r="R14" s="1"/>
  <c r="W13" s="1"/>
  <c r="H14"/>
  <c r="H13"/>
  <c r="H12"/>
  <c r="M8" s="1"/>
  <c r="H11"/>
  <c r="M18" s="1"/>
  <c r="R12" s="1"/>
  <c r="W14" s="1"/>
  <c r="H10"/>
  <c r="H9"/>
  <c r="H8"/>
  <c r="M6" s="1"/>
  <c r="H7"/>
  <c r="H6"/>
  <c r="H19" i="7"/>
  <c r="H18"/>
  <c r="M11" s="1"/>
  <c r="H17"/>
  <c r="M20" s="1"/>
  <c r="R15" s="1"/>
  <c r="H16"/>
  <c r="M10" s="1"/>
  <c r="R22" s="1"/>
  <c r="H15"/>
  <c r="M19" s="1"/>
  <c r="H14"/>
  <c r="M9" s="1"/>
  <c r="R21" s="1"/>
  <c r="W21" s="1"/>
  <c r="H13"/>
  <c r="M18" s="1"/>
  <c r="R13" s="1"/>
  <c r="W15" s="1"/>
  <c r="H12"/>
  <c r="M8" s="1"/>
  <c r="R8" s="1"/>
  <c r="H11"/>
  <c r="H10"/>
  <c r="M7" s="1"/>
  <c r="R20" s="1"/>
  <c r="W20" s="1"/>
  <c r="H9"/>
  <c r="M16" s="1"/>
  <c r="R14" s="1"/>
  <c r="H8"/>
  <c r="M21"/>
  <c r="M17"/>
  <c r="I26"/>
  <c r="AQ21" i="10"/>
  <c r="AQ20"/>
  <c r="AQ19"/>
  <c r="AQ18"/>
  <c r="H21" i="25"/>
  <c r="H20"/>
  <c r="H19"/>
  <c r="H18"/>
  <c r="H17"/>
  <c r="M20" s="1"/>
  <c r="H16"/>
  <c r="H15"/>
  <c r="H14"/>
  <c r="M10" s="1"/>
  <c r="R9" s="1"/>
  <c r="H13"/>
  <c r="M18" s="1"/>
  <c r="H12"/>
  <c r="H11"/>
  <c r="M17" s="1"/>
  <c r="H10"/>
  <c r="H9"/>
  <c r="M16" s="1"/>
  <c r="H8"/>
  <c r="H7"/>
  <c r="H6"/>
  <c r="H21" i="10"/>
  <c r="H20"/>
  <c r="M13" s="1"/>
  <c r="H19"/>
  <c r="M21" s="1"/>
  <c r="H18"/>
  <c r="M12" s="1"/>
  <c r="H17"/>
  <c r="M20" s="1"/>
  <c r="H16"/>
  <c r="M11" s="1"/>
  <c r="H15"/>
  <c r="M19" s="1"/>
  <c r="R14" s="1"/>
  <c r="H14"/>
  <c r="M10" s="1"/>
  <c r="H13"/>
  <c r="M18" s="1"/>
  <c r="H12"/>
  <c r="M9" s="1"/>
  <c r="H11"/>
  <c r="M17" s="1"/>
  <c r="H10"/>
  <c r="M8" s="1"/>
  <c r="H9"/>
  <c r="M16" s="1"/>
  <c r="H8"/>
  <c r="M7" s="1"/>
  <c r="H7"/>
  <c r="M15" s="1"/>
  <c r="R13" s="1"/>
  <c r="H6"/>
  <c r="M6" s="1"/>
  <c r="R20" i="22" l="1"/>
  <c r="W20" s="1"/>
  <c r="M17"/>
  <c r="M19"/>
  <c r="M7"/>
  <c r="R7" s="1"/>
  <c r="M9"/>
  <c r="R9" s="1"/>
  <c r="M16"/>
  <c r="R13" s="1"/>
  <c r="AF28" i="33"/>
  <c r="AH22"/>
  <c r="AC23" i="11"/>
  <c r="AC6" i="27"/>
  <c r="AH8" i="33"/>
  <c r="M23" i="12"/>
  <c r="M13"/>
  <c r="R25" s="1"/>
  <c r="M14"/>
  <c r="R11" s="1"/>
  <c r="M14" i="27"/>
  <c r="R11" s="1"/>
  <c r="R12" i="5"/>
  <c r="AF16" i="30"/>
  <c r="R7" i="10"/>
  <c r="R9"/>
  <c r="M22"/>
  <c r="R15" s="1"/>
  <c r="W13" s="1"/>
  <c r="AH21" i="33"/>
  <c r="AH6"/>
  <c r="AH15"/>
  <c r="AG28"/>
  <c r="M26" i="27"/>
  <c r="R15" s="1"/>
  <c r="M13"/>
  <c r="R27" s="1"/>
  <c r="M7" i="20"/>
  <c r="R12" i="21"/>
  <c r="W13" s="1"/>
  <c r="AQ24" i="10"/>
  <c r="R18"/>
  <c r="R21"/>
  <c r="R8"/>
  <c r="W8" s="1"/>
  <c r="R20"/>
  <c r="W20" s="1"/>
  <c r="R19"/>
  <c r="W19" s="1"/>
  <c r="AF12" i="30"/>
  <c r="AG12" s="1"/>
  <c r="AF9"/>
  <c r="AG9" s="1"/>
  <c r="AF21"/>
  <c r="AG21" s="1"/>
  <c r="AF13"/>
  <c r="AH16" i="33"/>
  <c r="AH12"/>
  <c r="AH24"/>
  <c r="AH10"/>
  <c r="AH20"/>
  <c r="AH25"/>
  <c r="AH27"/>
  <c r="AH13"/>
  <c r="AH7"/>
  <c r="AH23"/>
  <c r="AH11"/>
  <c r="AH9"/>
  <c r="AH26"/>
  <c r="AH18"/>
  <c r="AH17"/>
  <c r="AH19"/>
  <c r="AH14"/>
  <c r="AF10" i="30"/>
  <c r="AG10" s="1"/>
  <c r="AF20"/>
  <c r="AG20" s="1"/>
  <c r="AF30"/>
  <c r="AG30" s="1"/>
  <c r="AF15"/>
  <c r="AG15" s="1"/>
  <c r="AG23"/>
  <c r="AF24"/>
  <c r="AG24" s="1"/>
  <c r="AF17"/>
  <c r="AG17" s="1"/>
  <c r="AF11"/>
  <c r="AG11" s="1"/>
  <c r="AF19"/>
  <c r="AG19" s="1"/>
  <c r="AF14"/>
  <c r="AG14" s="1"/>
  <c r="AF18"/>
  <c r="AG18" s="1"/>
  <c r="AF25"/>
  <c r="AG25" s="1"/>
  <c r="AF29"/>
  <c r="AG29" s="1"/>
  <c r="AF22"/>
  <c r="AG22" s="1"/>
  <c r="AG13"/>
  <c r="AF27"/>
  <c r="AG27" s="1"/>
  <c r="AF26"/>
  <c r="AG26" s="1"/>
  <c r="AG28"/>
  <c r="M13" i="20"/>
  <c r="AC6" i="22"/>
  <c r="R20" i="6"/>
  <c r="R8" i="5"/>
  <c r="R20"/>
  <c r="W20" s="1"/>
  <c r="AC8"/>
  <c r="AC12"/>
  <c r="AC16"/>
  <c r="AC11"/>
  <c r="AC15"/>
  <c r="AC10"/>
  <c r="AC14"/>
  <c r="AC9"/>
  <c r="AC13"/>
  <c r="Y15" i="26"/>
  <c r="R8" i="29"/>
  <c r="W8" s="1"/>
  <c r="AC22"/>
  <c r="AC18"/>
  <c r="AC14"/>
  <c r="AC10"/>
  <c r="AC23"/>
  <c r="AC19"/>
  <c r="AC15"/>
  <c r="AC11"/>
  <c r="AC7"/>
  <c r="AC6"/>
  <c r="AC24"/>
  <c r="AC20"/>
  <c r="AC16"/>
  <c r="AC12"/>
  <c r="AC8"/>
  <c r="AC25"/>
  <c r="AC21"/>
  <c r="AC17"/>
  <c r="AC13"/>
  <c r="AC9"/>
  <c r="W8" i="11"/>
  <c r="R7"/>
  <c r="AE23" s="1"/>
  <c r="AC22"/>
  <c r="AC8"/>
  <c r="AC12"/>
  <c r="AC16"/>
  <c r="AC20"/>
  <c r="AC19"/>
  <c r="AC15"/>
  <c r="AC11"/>
  <c r="AC7"/>
  <c r="AC10"/>
  <c r="AC14"/>
  <c r="AC18"/>
  <c r="AC21"/>
  <c r="AC17"/>
  <c r="AC13"/>
  <c r="AC9"/>
  <c r="AC6"/>
  <c r="R25"/>
  <c r="R21" i="22"/>
  <c r="R7" i="20"/>
  <c r="X7" i="3"/>
  <c r="AD31" i="30"/>
  <c r="AG16"/>
  <c r="AE31"/>
  <c r="AC6" i="12"/>
  <c r="AC10"/>
  <c r="AC14"/>
  <c r="AC18"/>
  <c r="AC22"/>
  <c r="AC7"/>
  <c r="AC9"/>
  <c r="AC11"/>
  <c r="AC13"/>
  <c r="AC15"/>
  <c r="AC17"/>
  <c r="AC19"/>
  <c r="AC21"/>
  <c r="AC23"/>
  <c r="AC25"/>
  <c r="AC8"/>
  <c r="AC12"/>
  <c r="AC16"/>
  <c r="AC20"/>
  <c r="AC24"/>
  <c r="S30"/>
  <c r="N30"/>
  <c r="M6" i="29"/>
  <c r="R7" s="1"/>
  <c r="N30"/>
  <c r="AC8" i="27"/>
  <c r="M6"/>
  <c r="R7" s="1"/>
  <c r="AC21"/>
  <c r="AC17"/>
  <c r="AC13"/>
  <c r="AC9"/>
  <c r="AC23"/>
  <c r="AC19"/>
  <c r="AC15"/>
  <c r="AC11"/>
  <c r="AC7"/>
  <c r="AC12"/>
  <c r="AC16"/>
  <c r="AC20"/>
  <c r="AC10"/>
  <c r="AC14"/>
  <c r="AC18"/>
  <c r="AC22"/>
  <c r="N30"/>
  <c r="X28" i="11"/>
  <c r="AC7" i="10"/>
  <c r="AC9"/>
  <c r="AC11"/>
  <c r="AC13"/>
  <c r="AC20"/>
  <c r="AC6"/>
  <c r="AC8"/>
  <c r="AC10"/>
  <c r="AC12"/>
  <c r="AC14"/>
  <c r="AC15"/>
  <c r="AC16"/>
  <c r="AC17"/>
  <c r="AC18"/>
  <c r="AC19"/>
  <c r="AC21"/>
  <c r="R6"/>
  <c r="X24"/>
  <c r="S24"/>
  <c r="AC20" i="25"/>
  <c r="AC16"/>
  <c r="AC12"/>
  <c r="AC21"/>
  <c r="AC17"/>
  <c r="AC13"/>
  <c r="AC9"/>
  <c r="AC18"/>
  <c r="AC10"/>
  <c r="AC19"/>
  <c r="AC15"/>
  <c r="AC11"/>
  <c r="AC7"/>
  <c r="AC6"/>
  <c r="AC14"/>
  <c r="AC8"/>
  <c r="M7"/>
  <c r="R19" s="1"/>
  <c r="M9"/>
  <c r="R20" s="1"/>
  <c r="M11"/>
  <c r="R21" s="1"/>
  <c r="M12"/>
  <c r="R8" s="1"/>
  <c r="W8" s="1"/>
  <c r="M13"/>
  <c r="R18" s="1"/>
  <c r="W19" s="1"/>
  <c r="M15"/>
  <c r="R13" s="1"/>
  <c r="M19"/>
  <c r="R14" s="1"/>
  <c r="M21"/>
  <c r="R15" s="1"/>
  <c r="M8"/>
  <c r="R7" s="1"/>
  <c r="M6"/>
  <c r="M6" i="7"/>
  <c r="AC17"/>
  <c r="AC13"/>
  <c r="AC9"/>
  <c r="AC18"/>
  <c r="AC14"/>
  <c r="AC10"/>
  <c r="AC6"/>
  <c r="AC7"/>
  <c r="AC19"/>
  <c r="AC15"/>
  <c r="AC11"/>
  <c r="AC16"/>
  <c r="AC12"/>
  <c r="AC8"/>
  <c r="AC19" i="22"/>
  <c r="AC18"/>
  <c r="AC14"/>
  <c r="AC10"/>
  <c r="AC7"/>
  <c r="AC15"/>
  <c r="AC11"/>
  <c r="AC16"/>
  <c r="AC12"/>
  <c r="AC8"/>
  <c r="AC17"/>
  <c r="AC13"/>
  <c r="AC9"/>
  <c r="M5"/>
  <c r="R19" s="1"/>
  <c r="W19" s="1"/>
  <c r="R6" i="1"/>
  <c r="AD10"/>
  <c r="AD12"/>
  <c r="AD14"/>
  <c r="AD16"/>
  <c r="AD18"/>
  <c r="AD8"/>
  <c r="AD7"/>
  <c r="AD9"/>
  <c r="AD11"/>
  <c r="AD13"/>
  <c r="AD15"/>
  <c r="AD17"/>
  <c r="AC17"/>
  <c r="AC15"/>
  <c r="AC13"/>
  <c r="AC11"/>
  <c r="AC9"/>
  <c r="AC7"/>
  <c r="AC8"/>
  <c r="AC10"/>
  <c r="AC12"/>
  <c r="AC14"/>
  <c r="AC16"/>
  <c r="AC18"/>
  <c r="X23"/>
  <c r="R20"/>
  <c r="W20" s="1"/>
  <c r="I23"/>
  <c r="N23"/>
  <c r="AD16" i="6"/>
  <c r="AD11"/>
  <c r="AD15"/>
  <c r="AC8"/>
  <c r="AC12"/>
  <c r="AC16"/>
  <c r="AD10"/>
  <c r="AD14"/>
  <c r="AD18"/>
  <c r="AC11"/>
  <c r="AC15"/>
  <c r="AC7"/>
  <c r="AD9"/>
  <c r="AD13"/>
  <c r="AD17"/>
  <c r="AC10"/>
  <c r="AC14"/>
  <c r="AC18"/>
  <c r="AD8"/>
  <c r="AD12"/>
  <c r="AC9"/>
  <c r="AC13"/>
  <c r="AC17"/>
  <c r="AE18"/>
  <c r="AD7"/>
  <c r="X23"/>
  <c r="Z12" i="26"/>
  <c r="M6" i="5"/>
  <c r="I23"/>
  <c r="X23"/>
  <c r="R19" i="21"/>
  <c r="R18"/>
  <c r="M6"/>
  <c r="AC9"/>
  <c r="AC11"/>
  <c r="AC13"/>
  <c r="AC15"/>
  <c r="AC7"/>
  <c r="AC8"/>
  <c r="AC10"/>
  <c r="AC12"/>
  <c r="AC14"/>
  <c r="AC16"/>
  <c r="Z11" i="26"/>
  <c r="Z7"/>
  <c r="AA7" s="1"/>
  <c r="Z10"/>
  <c r="Z14"/>
  <c r="Z9"/>
  <c r="Z13"/>
  <c r="Z8"/>
  <c r="X12"/>
  <c r="X13"/>
  <c r="N19"/>
  <c r="X8"/>
  <c r="X9"/>
  <c r="X10"/>
  <c r="X11"/>
  <c r="X14"/>
  <c r="S19"/>
  <c r="X10" i="20"/>
  <c r="X14"/>
  <c r="X9"/>
  <c r="X13"/>
  <c r="X12"/>
  <c r="X11"/>
  <c r="M6"/>
  <c r="X7"/>
  <c r="X8"/>
  <c r="M14"/>
  <c r="R12" s="1"/>
  <c r="M9"/>
  <c r="R17" s="1"/>
  <c r="M6" i="3"/>
  <c r="M8"/>
  <c r="R9" s="1"/>
  <c r="V10" i="32"/>
  <c r="T7"/>
  <c r="T8"/>
  <c r="T11"/>
  <c r="T10"/>
  <c r="T12"/>
  <c r="V9"/>
  <c r="V11"/>
  <c r="T9"/>
  <c r="M12"/>
  <c r="M13"/>
  <c r="V7"/>
  <c r="V8"/>
  <c r="M6"/>
  <c r="M8"/>
  <c r="S19" i="20"/>
  <c r="I19"/>
  <c r="M12" i="4"/>
  <c r="R14" s="1"/>
  <c r="M14"/>
  <c r="R13" s="1"/>
  <c r="X12" i="3"/>
  <c r="X10"/>
  <c r="X8"/>
  <c r="X9"/>
  <c r="X11"/>
  <c r="S17"/>
  <c r="M6" i="4"/>
  <c r="R7" s="1"/>
  <c r="M8"/>
  <c r="R8" s="1"/>
  <c r="S17"/>
  <c r="N17"/>
  <c r="M13"/>
  <c r="X9"/>
  <c r="X8"/>
  <c r="M7"/>
  <c r="X7"/>
  <c r="X10"/>
  <c r="X12"/>
  <c r="X11"/>
  <c r="I17"/>
  <c r="R8" i="3"/>
  <c r="Z9" s="1"/>
  <c r="N28" i="11"/>
  <c r="I28"/>
  <c r="S30" i="27"/>
  <c r="S30" i="29"/>
  <c r="S28" i="11"/>
  <c r="R6" i="5"/>
  <c r="W8" i="21"/>
  <c r="R12" i="6"/>
  <c r="W14" s="1"/>
  <c r="R8"/>
  <c r="W8" s="1"/>
  <c r="R10" i="7"/>
  <c r="S23" i="6"/>
  <c r="N17" i="3"/>
  <c r="I17"/>
  <c r="R14" i="29"/>
  <c r="I30" i="12"/>
  <c r="X30"/>
  <c r="R14"/>
  <c r="W17" s="1"/>
  <c r="AF7" s="1"/>
  <c r="M14" i="11"/>
  <c r="AD23" s="1"/>
  <c r="M18"/>
  <c r="R16" s="1"/>
  <c r="R15"/>
  <c r="W17" s="1"/>
  <c r="X30" i="27"/>
  <c r="W25"/>
  <c r="W26"/>
  <c r="R14"/>
  <c r="W17" s="1"/>
  <c r="M21"/>
  <c r="I24" i="25"/>
  <c r="S23" i="5"/>
  <c r="R11" i="20"/>
  <c r="N19"/>
  <c r="W13" i="5"/>
  <c r="W14"/>
  <c r="W8"/>
  <c r="W7" i="6"/>
  <c r="R19"/>
  <c r="W19" s="1"/>
  <c r="R21"/>
  <c r="N23"/>
  <c r="W13"/>
  <c r="R18" i="1"/>
  <c r="W19" s="1"/>
  <c r="S23"/>
  <c r="N24" i="10"/>
  <c r="R12" i="25"/>
  <c r="M12" i="7"/>
  <c r="R9" s="1"/>
  <c r="W9" s="1"/>
  <c r="M22"/>
  <c r="R16" s="1"/>
  <c r="W14" s="1"/>
  <c r="R8" i="22"/>
  <c r="W8" s="1"/>
  <c r="S24"/>
  <c r="N24"/>
  <c r="X24"/>
  <c r="I24"/>
  <c r="R12" i="10"/>
  <c r="W14" s="1"/>
  <c r="N26" i="7"/>
  <c r="S26"/>
  <c r="X26"/>
  <c r="S24" i="25"/>
  <c r="X24"/>
  <c r="I24" i="10"/>
  <c r="Y8" i="3" l="1"/>
  <c r="AF9" i="27"/>
  <c r="AF23" i="11"/>
  <c r="AG23" s="1"/>
  <c r="AI21" i="33"/>
  <c r="AL21" s="1"/>
  <c r="W20" i="6"/>
  <c r="AF14" s="1"/>
  <c r="AD19"/>
  <c r="W20" i="25"/>
  <c r="AE9" i="10"/>
  <c r="AE11"/>
  <c r="AE13"/>
  <c r="AE15"/>
  <c r="AE17"/>
  <c r="AE19"/>
  <c r="AE21"/>
  <c r="AE6"/>
  <c r="AE8"/>
  <c r="AE10"/>
  <c r="AE12"/>
  <c r="AE14"/>
  <c r="AE16"/>
  <c r="AE18"/>
  <c r="AE20"/>
  <c r="AE7"/>
  <c r="AC22"/>
  <c r="AF31" i="30"/>
  <c r="AI13" i="33"/>
  <c r="AI18"/>
  <c r="AL18" s="1"/>
  <c r="AI6"/>
  <c r="AI15"/>
  <c r="AI8"/>
  <c r="AK8" s="1"/>
  <c r="AI25"/>
  <c r="AI22"/>
  <c r="AI23"/>
  <c r="AI14"/>
  <c r="AI12"/>
  <c r="AK21"/>
  <c r="AI17"/>
  <c r="AK25"/>
  <c r="AK23"/>
  <c r="AI19"/>
  <c r="AI10"/>
  <c r="AI9"/>
  <c r="AI27"/>
  <c r="AI20"/>
  <c r="AI11"/>
  <c r="AI24"/>
  <c r="AI7"/>
  <c r="AI16"/>
  <c r="AI26"/>
  <c r="AK13"/>
  <c r="AL15"/>
  <c r="AH27" i="30"/>
  <c r="AD24" i="12"/>
  <c r="AD20"/>
  <c r="AD16"/>
  <c r="AD12"/>
  <c r="AD8"/>
  <c r="AD9"/>
  <c r="AD22"/>
  <c r="AD18"/>
  <c r="AD14"/>
  <c r="AD10"/>
  <c r="AD6"/>
  <c r="AD7"/>
  <c r="AE14" i="27"/>
  <c r="AF13"/>
  <c r="AF14"/>
  <c r="AD20" i="11"/>
  <c r="AD18"/>
  <c r="AD14"/>
  <c r="AD22"/>
  <c r="AD10"/>
  <c r="AD16"/>
  <c r="AD12"/>
  <c r="AD8"/>
  <c r="AD8" i="10"/>
  <c r="AD7"/>
  <c r="AD10"/>
  <c r="AD6"/>
  <c r="AD9"/>
  <c r="AD11" i="25"/>
  <c r="W13"/>
  <c r="AK24" i="22"/>
  <c r="AC19" i="1"/>
  <c r="AD19"/>
  <c r="AC19" i="6"/>
  <c r="AC17" i="5"/>
  <c r="AD11"/>
  <c r="AD15"/>
  <c r="AD14"/>
  <c r="AD10"/>
  <c r="AD9"/>
  <c r="AD13"/>
  <c r="AD16"/>
  <c r="AD12"/>
  <c r="AD8"/>
  <c r="AE10"/>
  <c r="AE14"/>
  <c r="AE15"/>
  <c r="AE11"/>
  <c r="AE16"/>
  <c r="AE8"/>
  <c r="AE12"/>
  <c r="AE7"/>
  <c r="AE13"/>
  <c r="AE9"/>
  <c r="AC17" i="21"/>
  <c r="X15" i="26"/>
  <c r="Z15"/>
  <c r="AF11" i="29"/>
  <c r="AF15"/>
  <c r="AF10"/>
  <c r="AF22"/>
  <c r="AF9"/>
  <c r="AF17"/>
  <c r="AF21"/>
  <c r="AF25"/>
  <c r="AF12"/>
  <c r="AF16"/>
  <c r="AF20"/>
  <c r="AF7"/>
  <c r="AF13"/>
  <c r="AF19"/>
  <c r="AF23"/>
  <c r="AF8"/>
  <c r="AF14"/>
  <c r="AF18"/>
  <c r="AF24"/>
  <c r="AF6"/>
  <c r="AD24"/>
  <c r="AD8"/>
  <c r="AD12"/>
  <c r="AD16"/>
  <c r="AD20"/>
  <c r="AD25"/>
  <c r="AD21"/>
  <c r="AD17"/>
  <c r="AD13"/>
  <c r="AD9"/>
  <c r="AD14"/>
  <c r="AD18"/>
  <c r="AD22"/>
  <c r="AD23"/>
  <c r="AD19"/>
  <c r="AD15"/>
  <c r="AD11"/>
  <c r="AD7"/>
  <c r="AD10"/>
  <c r="AC26"/>
  <c r="AF7" i="11"/>
  <c r="AF11"/>
  <c r="AF15"/>
  <c r="AF19"/>
  <c r="AF22"/>
  <c r="AF20"/>
  <c r="AF16"/>
  <c r="AF12"/>
  <c r="AF8"/>
  <c r="AF9"/>
  <c r="AF13"/>
  <c r="AF17"/>
  <c r="AF21"/>
  <c r="AF6"/>
  <c r="AF18"/>
  <c r="AF14"/>
  <c r="AF10"/>
  <c r="AD15"/>
  <c r="AD17"/>
  <c r="AD7"/>
  <c r="AD6"/>
  <c r="AD21"/>
  <c r="AD13"/>
  <c r="AD9"/>
  <c r="AC24"/>
  <c r="AD19"/>
  <c r="AD11"/>
  <c r="AC22" i="25"/>
  <c r="R16" i="20"/>
  <c r="Y12"/>
  <c r="Y10"/>
  <c r="Y8"/>
  <c r="Y13"/>
  <c r="Y11"/>
  <c r="Y9"/>
  <c r="Y7"/>
  <c r="Y14"/>
  <c r="X15"/>
  <c r="R6"/>
  <c r="Y9" i="3"/>
  <c r="AA9" s="1"/>
  <c r="Y12"/>
  <c r="Y11"/>
  <c r="X13"/>
  <c r="Y10"/>
  <c r="Y7"/>
  <c r="X13" i="4"/>
  <c r="AH9" i="30"/>
  <c r="AH14"/>
  <c r="AH28"/>
  <c r="AH17"/>
  <c r="AH18"/>
  <c r="AH24"/>
  <c r="AG31"/>
  <c r="AH13"/>
  <c r="AH23"/>
  <c r="AH10"/>
  <c r="AH26"/>
  <c r="AH22"/>
  <c r="AH21"/>
  <c r="AH15"/>
  <c r="AH29"/>
  <c r="AH25"/>
  <c r="AH16"/>
  <c r="AH19"/>
  <c r="AH12"/>
  <c r="AH30"/>
  <c r="AH20"/>
  <c r="AH11"/>
  <c r="AC26" i="12"/>
  <c r="AE6"/>
  <c r="AE10"/>
  <c r="AE14"/>
  <c r="AE18"/>
  <c r="AE22"/>
  <c r="AE8"/>
  <c r="AE12"/>
  <c r="AE16"/>
  <c r="AE20"/>
  <c r="AE24"/>
  <c r="AE7"/>
  <c r="AE9"/>
  <c r="AE11"/>
  <c r="AE13"/>
  <c r="AE15"/>
  <c r="AE17"/>
  <c r="AE19"/>
  <c r="AE21"/>
  <c r="AE23"/>
  <c r="AE25"/>
  <c r="AF24"/>
  <c r="AF20"/>
  <c r="AF16"/>
  <c r="AF12"/>
  <c r="AF8"/>
  <c r="AF9"/>
  <c r="AF23"/>
  <c r="AF19"/>
  <c r="AF15"/>
  <c r="AF11"/>
  <c r="AD23"/>
  <c r="AD19"/>
  <c r="AD15"/>
  <c r="AD11"/>
  <c r="AF22"/>
  <c r="AF18"/>
  <c r="AF14"/>
  <c r="AG14" s="1"/>
  <c r="AF10"/>
  <c r="AF6"/>
  <c r="AF25"/>
  <c r="AF21"/>
  <c r="AF17"/>
  <c r="AF13"/>
  <c r="AD25"/>
  <c r="AD21"/>
  <c r="AD17"/>
  <c r="AD13"/>
  <c r="AD6" i="29"/>
  <c r="AD23" i="27"/>
  <c r="AD21"/>
  <c r="AD15"/>
  <c r="AD7"/>
  <c r="AD20"/>
  <c r="AD16"/>
  <c r="AD12"/>
  <c r="AD19"/>
  <c r="AD11"/>
  <c r="AD8"/>
  <c r="AD13"/>
  <c r="AD22"/>
  <c r="AD17"/>
  <c r="AD10"/>
  <c r="AE8"/>
  <c r="AE12"/>
  <c r="AE20"/>
  <c r="AE19"/>
  <c r="AE11"/>
  <c r="AE6"/>
  <c r="AE21"/>
  <c r="AE9"/>
  <c r="AE15"/>
  <c r="AE23"/>
  <c r="AE13"/>
  <c r="AE17"/>
  <c r="AE18"/>
  <c r="AE10"/>
  <c r="AE7"/>
  <c r="AE16"/>
  <c r="AE22"/>
  <c r="AD9"/>
  <c r="AD18"/>
  <c r="AD6"/>
  <c r="AD14"/>
  <c r="AF20"/>
  <c r="AF16"/>
  <c r="AF12"/>
  <c r="AF8"/>
  <c r="AF23"/>
  <c r="AF19"/>
  <c r="AF15"/>
  <c r="AF11"/>
  <c r="AF7"/>
  <c r="AF22"/>
  <c r="AF18"/>
  <c r="AF10"/>
  <c r="AF6"/>
  <c r="AF21"/>
  <c r="AF17"/>
  <c r="AC24"/>
  <c r="AK30"/>
  <c r="R11" i="11"/>
  <c r="AE20" s="1"/>
  <c r="AD18" i="10"/>
  <c r="AD12"/>
  <c r="AD13"/>
  <c r="AD20"/>
  <c r="AD21"/>
  <c r="AD17"/>
  <c r="AD11"/>
  <c r="AD14"/>
  <c r="AD16"/>
  <c r="AD19"/>
  <c r="AD15"/>
  <c r="W7"/>
  <c r="AD19" i="25"/>
  <c r="AD15"/>
  <c r="R6"/>
  <c r="AE20" s="1"/>
  <c r="AD8"/>
  <c r="AD9"/>
  <c r="AD20"/>
  <c r="AD12"/>
  <c r="AD6"/>
  <c r="AD7"/>
  <c r="AD18"/>
  <c r="AD10"/>
  <c r="AD16"/>
  <c r="AD14"/>
  <c r="AD21"/>
  <c r="AD17"/>
  <c r="AD13"/>
  <c r="W14"/>
  <c r="AE8"/>
  <c r="AE12"/>
  <c r="AE16"/>
  <c r="AE7"/>
  <c r="AE9"/>
  <c r="AE11"/>
  <c r="AE15"/>
  <c r="AE17"/>
  <c r="AE19"/>
  <c r="AK24"/>
  <c r="R7" i="7"/>
  <c r="AD6"/>
  <c r="AD9"/>
  <c r="AD11"/>
  <c r="AD13"/>
  <c r="AD15"/>
  <c r="AD17"/>
  <c r="AD19"/>
  <c r="AD7"/>
  <c r="AD18"/>
  <c r="AD14"/>
  <c r="AD10"/>
  <c r="AD16"/>
  <c r="AD12"/>
  <c r="AD8"/>
  <c r="AC20"/>
  <c r="AK26"/>
  <c r="AD19" i="22"/>
  <c r="AD6"/>
  <c r="R6"/>
  <c r="AD15"/>
  <c r="AD11"/>
  <c r="AD7"/>
  <c r="AD16"/>
  <c r="AD12"/>
  <c r="AD8"/>
  <c r="AD17"/>
  <c r="AD13"/>
  <c r="AD9"/>
  <c r="AD18"/>
  <c r="AD14"/>
  <c r="AD10"/>
  <c r="AC20"/>
  <c r="W7"/>
  <c r="W7" i="1"/>
  <c r="AE7"/>
  <c r="AE11"/>
  <c r="AE17"/>
  <c r="AE8"/>
  <c r="AE10"/>
  <c r="AE12"/>
  <c r="AE14"/>
  <c r="AE16"/>
  <c r="AE18"/>
  <c r="AE13"/>
  <c r="AE9"/>
  <c r="AE15"/>
  <c r="AK23"/>
  <c r="AE9" i="6"/>
  <c r="AE15"/>
  <c r="AE8"/>
  <c r="AE16"/>
  <c r="AE13"/>
  <c r="AE10"/>
  <c r="AF18"/>
  <c r="AG18" s="1"/>
  <c r="AF10"/>
  <c r="AF11"/>
  <c r="AF16"/>
  <c r="AF12"/>
  <c r="AF17"/>
  <c r="AF9"/>
  <c r="AE14"/>
  <c r="AE11"/>
  <c r="AE12"/>
  <c r="AE17"/>
  <c r="AF7"/>
  <c r="AE7"/>
  <c r="AK23"/>
  <c r="W7" i="5"/>
  <c r="AD7"/>
  <c r="AK23"/>
  <c r="AD12" i="21"/>
  <c r="AD10"/>
  <c r="AD8"/>
  <c r="AD16"/>
  <c r="AD13"/>
  <c r="AD14"/>
  <c r="AD15"/>
  <c r="AD7"/>
  <c r="AD11"/>
  <c r="R6"/>
  <c r="AD9"/>
  <c r="AK22"/>
  <c r="AA13" i="26"/>
  <c r="AA11"/>
  <c r="AA9"/>
  <c r="AA12"/>
  <c r="AA14"/>
  <c r="AA10"/>
  <c r="AA8"/>
  <c r="U9" i="32"/>
  <c r="W9" s="1"/>
  <c r="U12"/>
  <c r="W12" s="1"/>
  <c r="U7"/>
  <c r="W7" s="1"/>
  <c r="U10"/>
  <c r="W10" s="1"/>
  <c r="U8"/>
  <c r="W8" s="1"/>
  <c r="U11"/>
  <c r="W11" s="1"/>
  <c r="AE19" i="20"/>
  <c r="Z12" i="3"/>
  <c r="Z11"/>
  <c r="Z10"/>
  <c r="Z8"/>
  <c r="AA8" s="1"/>
  <c r="AA17"/>
  <c r="Z7"/>
  <c r="Y10" i="4"/>
  <c r="Y7"/>
  <c r="Y9"/>
  <c r="Y12"/>
  <c r="Y11"/>
  <c r="Y8"/>
  <c r="Z9"/>
  <c r="Z8"/>
  <c r="Z12"/>
  <c r="Z10"/>
  <c r="Z7"/>
  <c r="Z11"/>
  <c r="AE17"/>
  <c r="AK30" i="12"/>
  <c r="AK30" i="29"/>
  <c r="AK28" i="11"/>
  <c r="AK24" i="10"/>
  <c r="AG11" i="6" l="1"/>
  <c r="AE21" i="25"/>
  <c r="AE13"/>
  <c r="AG6" i="12"/>
  <c r="AG22"/>
  <c r="AG20" i="11"/>
  <c r="AL27" i="33"/>
  <c r="AL8"/>
  <c r="AK6"/>
  <c r="AJ6"/>
  <c r="AL13"/>
  <c r="AK17"/>
  <c r="AL23"/>
  <c r="AL25"/>
  <c r="AK15"/>
  <c r="AL6"/>
  <c r="AD24" i="27"/>
  <c r="AD17" i="5"/>
  <c r="AG12" i="6"/>
  <c r="AG14"/>
  <c r="AF13"/>
  <c r="AG13" s="1"/>
  <c r="AF8"/>
  <c r="AF15"/>
  <c r="AG15" s="1"/>
  <c r="AE19"/>
  <c r="AF9" i="10"/>
  <c r="AG9" s="1"/>
  <c r="AF11"/>
  <c r="AG11" s="1"/>
  <c r="AF13"/>
  <c r="AG13" s="1"/>
  <c r="AF15"/>
  <c r="AG15" s="1"/>
  <c r="AF17"/>
  <c r="AG17" s="1"/>
  <c r="AF19"/>
  <c r="AG19" s="1"/>
  <c r="AF21"/>
  <c r="AG21" s="1"/>
  <c r="AF8"/>
  <c r="AG8" s="1"/>
  <c r="AF10"/>
  <c r="AG10" s="1"/>
  <c r="AF12"/>
  <c r="AG12" s="1"/>
  <c r="AF14"/>
  <c r="AG14" s="1"/>
  <c r="AF16"/>
  <c r="AG16" s="1"/>
  <c r="AF18"/>
  <c r="AG18" s="1"/>
  <c r="AF20"/>
  <c r="AG20" s="1"/>
  <c r="AG18" i="12"/>
  <c r="AK18" i="33"/>
  <c r="AL22"/>
  <c r="AK22"/>
  <c r="AL14"/>
  <c r="AK14"/>
  <c r="AL12"/>
  <c r="AK12"/>
  <c r="AL17"/>
  <c r="AL16"/>
  <c r="AK16"/>
  <c r="AL24"/>
  <c r="AK24"/>
  <c r="AL20"/>
  <c r="AK20"/>
  <c r="AL9"/>
  <c r="AK9"/>
  <c r="AL19"/>
  <c r="AK19"/>
  <c r="AL26"/>
  <c r="AK26"/>
  <c r="AL7"/>
  <c r="AK7"/>
  <c r="AL11"/>
  <c r="AK11"/>
  <c r="AK27"/>
  <c r="AL10"/>
  <c r="AK10"/>
  <c r="AG10" i="12"/>
  <c r="AG9"/>
  <c r="AD26" i="29"/>
  <c r="AG18" i="27"/>
  <c r="AG13"/>
  <c r="AA15" i="26"/>
  <c r="AG8" i="12"/>
  <c r="AG16"/>
  <c r="AG12"/>
  <c r="AG20"/>
  <c r="AG15"/>
  <c r="AG23"/>
  <c r="AF26" i="29"/>
  <c r="AG21" i="27"/>
  <c r="AG22"/>
  <c r="AG14"/>
  <c r="AE22" i="11"/>
  <c r="AG22" s="1"/>
  <c r="AE10"/>
  <c r="AG10" s="1"/>
  <c r="AE14"/>
  <c r="AG14" s="1"/>
  <c r="AG17" i="6"/>
  <c r="AG7"/>
  <c r="AF7" i="5"/>
  <c r="AG7" s="1"/>
  <c r="AF15"/>
  <c r="AG15" s="1"/>
  <c r="AF12"/>
  <c r="AG12" s="1"/>
  <c r="AF13"/>
  <c r="AG13" s="1"/>
  <c r="AF16"/>
  <c r="AG16" s="1"/>
  <c r="AF9"/>
  <c r="AG9" s="1"/>
  <c r="AF8"/>
  <c r="AG8" s="1"/>
  <c r="AF14"/>
  <c r="AF10"/>
  <c r="AG10" s="1"/>
  <c r="AE17"/>
  <c r="AF11"/>
  <c r="AG11" s="1"/>
  <c r="AE16" i="21"/>
  <c r="AE13"/>
  <c r="AE15"/>
  <c r="AE7"/>
  <c r="AE8"/>
  <c r="AE12"/>
  <c r="AE9"/>
  <c r="AE10"/>
  <c r="AE14"/>
  <c r="AE11"/>
  <c r="AD17"/>
  <c r="AE9" i="29"/>
  <c r="AG9" s="1"/>
  <c r="AE13"/>
  <c r="AG13" s="1"/>
  <c r="AE17"/>
  <c r="AG17" s="1"/>
  <c r="AE21"/>
  <c r="AG21" s="1"/>
  <c r="AE25"/>
  <c r="AE24"/>
  <c r="AG24" s="1"/>
  <c r="AE20"/>
  <c r="AG20" s="1"/>
  <c r="AE16"/>
  <c r="AG16" s="1"/>
  <c r="AE12"/>
  <c r="AG12" s="1"/>
  <c r="AE8"/>
  <c r="AG8" s="1"/>
  <c r="AE15"/>
  <c r="AG15" s="1"/>
  <c r="AE7"/>
  <c r="AG7" s="1"/>
  <c r="AE11"/>
  <c r="AG11" s="1"/>
  <c r="AE19"/>
  <c r="AG19" s="1"/>
  <c r="AE23"/>
  <c r="AG23" s="1"/>
  <c r="AE22"/>
  <c r="AG22" s="1"/>
  <c r="AE18"/>
  <c r="AG18" s="1"/>
  <c r="AE14"/>
  <c r="AG14" s="1"/>
  <c r="AE10"/>
  <c r="AG10" s="1"/>
  <c r="AE6"/>
  <c r="AG6" s="1"/>
  <c r="AG25"/>
  <c r="AE6" i="11"/>
  <c r="AG6" s="1"/>
  <c r="AE15"/>
  <c r="AG15" s="1"/>
  <c r="AE7"/>
  <c r="AG7" s="1"/>
  <c r="AE21"/>
  <c r="AG21" s="1"/>
  <c r="AE19"/>
  <c r="AG19" s="1"/>
  <c r="AE16"/>
  <c r="AG16" s="1"/>
  <c r="AE17"/>
  <c r="AG17" s="1"/>
  <c r="AE18"/>
  <c r="AG18" s="1"/>
  <c r="AF24"/>
  <c r="AE12"/>
  <c r="AG12" s="1"/>
  <c r="AE13"/>
  <c r="AG13" s="1"/>
  <c r="AE11"/>
  <c r="AG11" s="1"/>
  <c r="AE8"/>
  <c r="AG8" s="1"/>
  <c r="AE9"/>
  <c r="AG9" s="1"/>
  <c r="AD24"/>
  <c r="AD22" i="25"/>
  <c r="AG9" i="27"/>
  <c r="AE19" i="1"/>
  <c r="AA11" i="3"/>
  <c r="Z9" i="20"/>
  <c r="AA9" s="1"/>
  <c r="Z12"/>
  <c r="AA12" s="1"/>
  <c r="Z10"/>
  <c r="AA10" s="1"/>
  <c r="Z14"/>
  <c r="AA14" s="1"/>
  <c r="Z13"/>
  <c r="AA13" s="1"/>
  <c r="Z11"/>
  <c r="AA11" s="1"/>
  <c r="Z7"/>
  <c r="AA7" s="1"/>
  <c r="Z8"/>
  <c r="AA8" s="1"/>
  <c r="Y15"/>
  <c r="Y13" i="3"/>
  <c r="AA10"/>
  <c r="AA12"/>
  <c r="Z13" i="4"/>
  <c r="AA7" i="3"/>
  <c r="Z13"/>
  <c r="Y13" i="4"/>
  <c r="AI21" i="30"/>
  <c r="AI26"/>
  <c r="AI22"/>
  <c r="AI12"/>
  <c r="AI29"/>
  <c r="AI25"/>
  <c r="AI19"/>
  <c r="AI9"/>
  <c r="AJ9" s="1"/>
  <c r="AI14"/>
  <c r="AI16"/>
  <c r="AI18"/>
  <c r="AI30"/>
  <c r="AI28"/>
  <c r="AI24"/>
  <c r="AI20"/>
  <c r="AI10"/>
  <c r="AI27"/>
  <c r="AI23"/>
  <c r="AI11"/>
  <c r="AI13"/>
  <c r="AI15"/>
  <c r="AI17"/>
  <c r="AG21" i="12"/>
  <c r="AG17"/>
  <c r="AG25"/>
  <c r="AD26"/>
  <c r="AG24"/>
  <c r="AG11"/>
  <c r="AG19"/>
  <c r="AG13"/>
  <c r="AF26"/>
  <c r="AE26"/>
  <c r="AG7"/>
  <c r="AG17" i="27"/>
  <c r="AG10"/>
  <c r="AG23"/>
  <c r="AG19"/>
  <c r="AG15"/>
  <c r="AG11"/>
  <c r="AG7"/>
  <c r="AG20"/>
  <c r="AG16"/>
  <c r="AG12"/>
  <c r="AF24"/>
  <c r="AG8"/>
  <c r="AE24"/>
  <c r="AG6"/>
  <c r="AD22" i="10"/>
  <c r="AF7"/>
  <c r="AG7" s="1"/>
  <c r="AF6"/>
  <c r="AG6" s="1"/>
  <c r="AE22"/>
  <c r="W7" i="25"/>
  <c r="AF8" s="1"/>
  <c r="AG8" s="1"/>
  <c r="AE10"/>
  <c r="AE14"/>
  <c r="AE6"/>
  <c r="AE18"/>
  <c r="AF17"/>
  <c r="AG17" s="1"/>
  <c r="AF13"/>
  <c r="AG13" s="1"/>
  <c r="AF11"/>
  <c r="AG11" s="1"/>
  <c r="W8" i="7"/>
  <c r="AE19"/>
  <c r="AE15"/>
  <c r="AE11"/>
  <c r="AE9"/>
  <c r="AE6"/>
  <c r="AE13"/>
  <c r="AE17"/>
  <c r="AE7"/>
  <c r="AE14"/>
  <c r="AE18"/>
  <c r="AE8"/>
  <c r="AE10"/>
  <c r="AE12"/>
  <c r="AE16"/>
  <c r="AD20"/>
  <c r="AE19" i="22"/>
  <c r="AE6"/>
  <c r="AF19"/>
  <c r="AF6"/>
  <c r="AF18"/>
  <c r="AF14"/>
  <c r="AF10"/>
  <c r="AF7"/>
  <c r="AF15"/>
  <c r="AF11"/>
  <c r="AF16"/>
  <c r="AF12"/>
  <c r="AF8"/>
  <c r="AF17"/>
  <c r="AF13"/>
  <c r="AF9"/>
  <c r="AE15"/>
  <c r="AG15" s="1"/>
  <c r="AE11"/>
  <c r="AE7"/>
  <c r="AE16"/>
  <c r="AE12"/>
  <c r="AE8"/>
  <c r="AE17"/>
  <c r="AE13"/>
  <c r="AE9"/>
  <c r="AE18"/>
  <c r="AE14"/>
  <c r="AE10"/>
  <c r="AD20"/>
  <c r="AF10" i="1"/>
  <c r="AG10" s="1"/>
  <c r="AF12"/>
  <c r="AG12" s="1"/>
  <c r="AF14"/>
  <c r="AG14" s="1"/>
  <c r="AF16"/>
  <c r="AG16" s="1"/>
  <c r="AF18"/>
  <c r="AG18" s="1"/>
  <c r="AF8"/>
  <c r="AG8" s="1"/>
  <c r="AF7"/>
  <c r="AF9"/>
  <c r="AG9" s="1"/>
  <c r="AF11"/>
  <c r="AG11" s="1"/>
  <c r="AF13"/>
  <c r="AG13" s="1"/>
  <c r="AF15"/>
  <c r="AG15" s="1"/>
  <c r="AF17"/>
  <c r="AG17" s="1"/>
  <c r="AG9" i="6"/>
  <c r="AG10"/>
  <c r="AG16"/>
  <c r="AB8" i="26"/>
  <c r="AB14"/>
  <c r="AB9"/>
  <c r="AB13"/>
  <c r="AB10"/>
  <c r="AB12"/>
  <c r="AB11"/>
  <c r="AB7"/>
  <c r="AG14" i="5"/>
  <c r="W7" i="21"/>
  <c r="X8" i="32"/>
  <c r="X7"/>
  <c r="X11"/>
  <c r="X12"/>
  <c r="X10"/>
  <c r="X9"/>
  <c r="AA10" i="4"/>
  <c r="AA7"/>
  <c r="AA9"/>
  <c r="AA8"/>
  <c r="AA12"/>
  <c r="AA11"/>
  <c r="AG11" i="22" l="1"/>
  <c r="AF19" i="25"/>
  <c r="AG19" s="1"/>
  <c r="AF7"/>
  <c r="AG7" s="1"/>
  <c r="AF10"/>
  <c r="AG10" s="1"/>
  <c r="AJ7" i="33"/>
  <c r="AJ8" s="1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22" s="1"/>
  <c r="AJ23" s="1"/>
  <c r="AJ24" s="1"/>
  <c r="AJ25" s="1"/>
  <c r="AJ26" s="1"/>
  <c r="AJ27" s="1"/>
  <c r="AL21" i="30"/>
  <c r="AB11" i="3"/>
  <c r="AL28" i="33"/>
  <c r="AG17" i="5"/>
  <c r="AF19" i="6"/>
  <c r="AG8"/>
  <c r="AH16" s="1"/>
  <c r="AH6" i="10"/>
  <c r="AH18"/>
  <c r="AH14"/>
  <c r="AH10"/>
  <c r="AH21"/>
  <c r="AH17"/>
  <c r="AH13"/>
  <c r="AH9"/>
  <c r="AH7"/>
  <c r="AH20"/>
  <c r="AH16"/>
  <c r="AH12"/>
  <c r="AH8"/>
  <c r="AH19"/>
  <c r="AH15"/>
  <c r="AH11"/>
  <c r="AF20" i="25"/>
  <c r="AG20" s="1"/>
  <c r="AF12"/>
  <c r="AG12" s="1"/>
  <c r="AF16"/>
  <c r="AG16" s="1"/>
  <c r="AF9"/>
  <c r="AG9" s="1"/>
  <c r="AF21"/>
  <c r="AG21" s="1"/>
  <c r="AF14"/>
  <c r="AG14" s="1"/>
  <c r="AE26" i="29"/>
  <c r="AG24" i="27"/>
  <c r="AG10" i="22"/>
  <c r="AG18"/>
  <c r="AG13"/>
  <c r="AG8"/>
  <c r="AG16"/>
  <c r="AG7" i="1"/>
  <c r="AH9" s="1"/>
  <c r="AF19"/>
  <c r="AG19" i="6"/>
  <c r="AF17" i="5"/>
  <c r="AF16" i="21"/>
  <c r="AG16" s="1"/>
  <c r="AF12"/>
  <c r="AG12" s="1"/>
  <c r="AF8"/>
  <c r="AG8" s="1"/>
  <c r="AF15"/>
  <c r="AG15" s="1"/>
  <c r="AF11"/>
  <c r="AG11" s="1"/>
  <c r="AF14"/>
  <c r="AG14" s="1"/>
  <c r="AF10"/>
  <c r="AG10" s="1"/>
  <c r="AF7"/>
  <c r="AF13"/>
  <c r="AG13" s="1"/>
  <c r="AF9"/>
  <c r="AG9" s="1"/>
  <c r="AE17"/>
  <c r="AA15" i="20"/>
  <c r="Z15"/>
  <c r="AA13" i="3"/>
  <c r="AG26" i="29"/>
  <c r="AH7" i="11"/>
  <c r="AH10"/>
  <c r="AE24"/>
  <c r="AE22" i="25"/>
  <c r="AG14" i="22"/>
  <c r="AG9"/>
  <c r="AG17"/>
  <c r="AG12"/>
  <c r="AG7"/>
  <c r="AG19" i="1"/>
  <c r="AG24" i="11"/>
  <c r="AB12" i="3"/>
  <c r="AB9"/>
  <c r="AB8"/>
  <c r="AB7"/>
  <c r="AB10"/>
  <c r="AA13" i="4"/>
  <c r="AK21" i="30"/>
  <c r="AL15"/>
  <c r="AK15"/>
  <c r="AL11"/>
  <c r="AK11"/>
  <c r="AL27"/>
  <c r="AK27"/>
  <c r="AL20"/>
  <c r="AK20"/>
  <c r="AL28"/>
  <c r="AK28"/>
  <c r="AL18"/>
  <c r="AK18"/>
  <c r="AL14"/>
  <c r="AK14"/>
  <c r="AL19"/>
  <c r="AK19"/>
  <c r="AL29"/>
  <c r="AK29"/>
  <c r="AL22"/>
  <c r="AK22"/>
  <c r="AL17"/>
  <c r="AK17"/>
  <c r="AL13"/>
  <c r="AK13"/>
  <c r="AL23"/>
  <c r="AK23"/>
  <c r="AL10"/>
  <c r="AK10"/>
  <c r="AL24"/>
  <c r="AK24"/>
  <c r="AL30"/>
  <c r="AK30"/>
  <c r="AL16"/>
  <c r="AK16"/>
  <c r="AL9"/>
  <c r="AJ10" s="1"/>
  <c r="AK9"/>
  <c r="AL25"/>
  <c r="AK25"/>
  <c r="AL12"/>
  <c r="AK12"/>
  <c r="AL26"/>
  <c r="AK26"/>
  <c r="AH7" i="12"/>
  <c r="AG26"/>
  <c r="AH16"/>
  <c r="AH9"/>
  <c r="AH12"/>
  <c r="AH21"/>
  <c r="AH6"/>
  <c r="AH10"/>
  <c r="AH11"/>
  <c r="AH17"/>
  <c r="AH15"/>
  <c r="AH14"/>
  <c r="AH24"/>
  <c r="AH8"/>
  <c r="AH20"/>
  <c r="AH13"/>
  <c r="AH18"/>
  <c r="AH19"/>
  <c r="AH25"/>
  <c r="AH23"/>
  <c r="AH22"/>
  <c r="AH6" i="29"/>
  <c r="AH23"/>
  <c r="AH24"/>
  <c r="AH25"/>
  <c r="AH14"/>
  <c r="AH22"/>
  <c r="AH7"/>
  <c r="AH9"/>
  <c r="AH12"/>
  <c r="AH20"/>
  <c r="AH11"/>
  <c r="AH13"/>
  <c r="AH10"/>
  <c r="AH18"/>
  <c r="AH15"/>
  <c r="AH17"/>
  <c r="AH8"/>
  <c r="AH16"/>
  <c r="AH19"/>
  <c r="AH21"/>
  <c r="AH18" i="27"/>
  <c r="AH17"/>
  <c r="AH19"/>
  <c r="AH6"/>
  <c r="AH8"/>
  <c r="AH21"/>
  <c r="AH22"/>
  <c r="AH12"/>
  <c r="AH20"/>
  <c r="AH11"/>
  <c r="AH23"/>
  <c r="AH9"/>
  <c r="AH10"/>
  <c r="AH13"/>
  <c r="AH14"/>
  <c r="AH16"/>
  <c r="AH7"/>
  <c r="AH15"/>
  <c r="AH6" i="11"/>
  <c r="AH23"/>
  <c r="AH21"/>
  <c r="AH22"/>
  <c r="AH14"/>
  <c r="AH19"/>
  <c r="AH15"/>
  <c r="AH11"/>
  <c r="AH12"/>
  <c r="AH18"/>
  <c r="AH20"/>
  <c r="AH17"/>
  <c r="AH13"/>
  <c r="AH9"/>
  <c r="AH8"/>
  <c r="AH16"/>
  <c r="AG22" i="10"/>
  <c r="AF22"/>
  <c r="AF15" i="25"/>
  <c r="AG15" s="1"/>
  <c r="AF18"/>
  <c r="AG18" s="1"/>
  <c r="AF6"/>
  <c r="AG6" s="1"/>
  <c r="AE20" i="7"/>
  <c r="AF19"/>
  <c r="AG19" s="1"/>
  <c r="AF17"/>
  <c r="AG17" s="1"/>
  <c r="AF13"/>
  <c r="AG13" s="1"/>
  <c r="AF8"/>
  <c r="AG8" s="1"/>
  <c r="AF12"/>
  <c r="AG12" s="1"/>
  <c r="AF16"/>
  <c r="AG16" s="1"/>
  <c r="AF7"/>
  <c r="AG7" s="1"/>
  <c r="AF9"/>
  <c r="AG9" s="1"/>
  <c r="AF11"/>
  <c r="AG11" s="1"/>
  <c r="AF15"/>
  <c r="AG15" s="1"/>
  <c r="AF6"/>
  <c r="AG6" s="1"/>
  <c r="AF10"/>
  <c r="AG10" s="1"/>
  <c r="AF14"/>
  <c r="AG14" s="1"/>
  <c r="AF18"/>
  <c r="AG18" s="1"/>
  <c r="AG19" i="22"/>
  <c r="AG6"/>
  <c r="AF20"/>
  <c r="AE20"/>
  <c r="AH17" i="1"/>
  <c r="AH8"/>
  <c r="AH12"/>
  <c r="AH11"/>
  <c r="AH18"/>
  <c r="AH10"/>
  <c r="AH9" i="6"/>
  <c r="AH11"/>
  <c r="AH10"/>
  <c r="AH13"/>
  <c r="AH7"/>
  <c r="AH17"/>
  <c r="AC13" i="26"/>
  <c r="AC9"/>
  <c r="AC12"/>
  <c r="AC8"/>
  <c r="AC7"/>
  <c r="AC11"/>
  <c r="AC14"/>
  <c r="AC10"/>
  <c r="AB11" i="20"/>
  <c r="AB7"/>
  <c r="AH10" i="5"/>
  <c r="AH9"/>
  <c r="AH7"/>
  <c r="AH14"/>
  <c r="AH12"/>
  <c r="AH15"/>
  <c r="AH13"/>
  <c r="AH16"/>
  <c r="AH8"/>
  <c r="AH11"/>
  <c r="AB12" i="20"/>
  <c r="AB13"/>
  <c r="AB14"/>
  <c r="AB10"/>
  <c r="AB8"/>
  <c r="AB9"/>
  <c r="Z7" i="32"/>
  <c r="AB9" i="4"/>
  <c r="AB7"/>
  <c r="AB11"/>
  <c r="AB8"/>
  <c r="AB12"/>
  <c r="AB10"/>
  <c r="AJ11" i="30" l="1"/>
  <c r="AJ12" s="1"/>
  <c r="AJ13" s="1"/>
  <c r="AJ14" s="1"/>
  <c r="AJ15" s="1"/>
  <c r="AJ16" s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C7" i="3"/>
  <c r="AF7" s="1"/>
  <c r="AC8"/>
  <c r="AL31" i="30"/>
  <c r="AH15" i="6"/>
  <c r="AH12"/>
  <c r="AH14"/>
  <c r="AH18"/>
  <c r="AH8"/>
  <c r="AH14" i="1"/>
  <c r="AH7"/>
  <c r="AH15"/>
  <c r="AH16"/>
  <c r="AH13"/>
  <c r="AH21" i="25"/>
  <c r="AH14"/>
  <c r="AH9"/>
  <c r="AH17"/>
  <c r="AI8" i="10"/>
  <c r="AI19"/>
  <c r="AI15"/>
  <c r="AI11"/>
  <c r="AI7"/>
  <c r="AI18"/>
  <c r="AI14"/>
  <c r="AI10"/>
  <c r="AI6"/>
  <c r="AI21"/>
  <c r="AI17"/>
  <c r="AI13"/>
  <c r="AI9"/>
  <c r="AI20"/>
  <c r="AI16"/>
  <c r="AI12"/>
  <c r="AH10" i="25"/>
  <c r="AH13"/>
  <c r="AH16"/>
  <c r="AF22"/>
  <c r="AE14" i="26"/>
  <c r="AE7"/>
  <c r="AD7"/>
  <c r="AE12"/>
  <c r="AE13"/>
  <c r="AE10"/>
  <c r="AE11"/>
  <c r="AE8"/>
  <c r="AE9"/>
  <c r="AH20" i="25"/>
  <c r="AH15"/>
  <c r="AH7"/>
  <c r="AH18"/>
  <c r="AH6"/>
  <c r="AH11"/>
  <c r="AH19"/>
  <c r="AF17" i="21"/>
  <c r="AG7"/>
  <c r="AH12" i="25"/>
  <c r="AG22"/>
  <c r="AH14" i="22"/>
  <c r="AC11" i="3"/>
  <c r="AC9"/>
  <c r="AC10"/>
  <c r="AC12"/>
  <c r="AI24" i="12"/>
  <c r="AI20"/>
  <c r="AI16"/>
  <c r="AI12"/>
  <c r="AI6"/>
  <c r="AJ6" s="1"/>
  <c r="AI9"/>
  <c r="AI13"/>
  <c r="AI17"/>
  <c r="AI21"/>
  <c r="AI25"/>
  <c r="AI10"/>
  <c r="AI22"/>
  <c r="AI18"/>
  <c r="AI14"/>
  <c r="AI8"/>
  <c r="AI7"/>
  <c r="AI11"/>
  <c r="AI15"/>
  <c r="AI19"/>
  <c r="AI23"/>
  <c r="AI8" i="29"/>
  <c r="AI10"/>
  <c r="AI12"/>
  <c r="AI14"/>
  <c r="AI16"/>
  <c r="AI18"/>
  <c r="AI20"/>
  <c r="AI22"/>
  <c r="AI24"/>
  <c r="AI6"/>
  <c r="AJ6" s="1"/>
  <c r="AI7"/>
  <c r="AI9"/>
  <c r="AI11"/>
  <c r="AI13"/>
  <c r="AI15"/>
  <c r="AI17"/>
  <c r="AI19"/>
  <c r="AI21"/>
  <c r="AI23"/>
  <c r="AI25"/>
  <c r="AI23" i="27"/>
  <c r="AI19"/>
  <c r="AI15"/>
  <c r="AI11"/>
  <c r="AI7"/>
  <c r="AI8"/>
  <c r="AI12"/>
  <c r="AI16"/>
  <c r="AI20"/>
  <c r="AI21"/>
  <c r="AI17"/>
  <c r="AI13"/>
  <c r="AI9"/>
  <c r="AI6"/>
  <c r="AJ6" s="1"/>
  <c r="AI10"/>
  <c r="AI14"/>
  <c r="AI18"/>
  <c r="AI22"/>
  <c r="AI7" i="11"/>
  <c r="AI9"/>
  <c r="AI11"/>
  <c r="AI13"/>
  <c r="AI15"/>
  <c r="AI17"/>
  <c r="AI19"/>
  <c r="AI21"/>
  <c r="AI23"/>
  <c r="AI8"/>
  <c r="AI10"/>
  <c r="AI12"/>
  <c r="AI14"/>
  <c r="AI16"/>
  <c r="AI18"/>
  <c r="AI20"/>
  <c r="AI22"/>
  <c r="AI6"/>
  <c r="AJ6" s="1"/>
  <c r="AH8" i="25"/>
  <c r="AG20" i="7"/>
  <c r="AH6" s="1"/>
  <c r="AH13"/>
  <c r="AF20"/>
  <c r="AH19" i="22"/>
  <c r="AH13"/>
  <c r="AH15"/>
  <c r="AH7"/>
  <c r="AH12"/>
  <c r="AH6"/>
  <c r="AH11"/>
  <c r="AH16"/>
  <c r="AH8"/>
  <c r="AH18"/>
  <c r="AH10"/>
  <c r="AH17"/>
  <c r="AH9"/>
  <c r="AG20"/>
  <c r="AI8" i="1"/>
  <c r="AI18"/>
  <c r="AI18" i="6"/>
  <c r="AI11"/>
  <c r="AI8"/>
  <c r="AC7" i="20"/>
  <c r="AI10" i="5"/>
  <c r="AI14"/>
  <c r="AI12"/>
  <c r="AI7"/>
  <c r="AJ7" s="1"/>
  <c r="AI11"/>
  <c r="AI15"/>
  <c r="AI8"/>
  <c r="AI9"/>
  <c r="AI13"/>
  <c r="AI16"/>
  <c r="AC13" i="20"/>
  <c r="AC9"/>
  <c r="AC12"/>
  <c r="AC14"/>
  <c r="AC10"/>
  <c r="AC8"/>
  <c r="AC11"/>
  <c r="Z10" i="32"/>
  <c r="Z11"/>
  <c r="Z9"/>
  <c r="Y12"/>
  <c r="Z12"/>
  <c r="Z8"/>
  <c r="Y8"/>
  <c r="AF8" i="3"/>
  <c r="AE8"/>
  <c r="AE9"/>
  <c r="AF12"/>
  <c r="AF11"/>
  <c r="AC7" i="4"/>
  <c r="AC12"/>
  <c r="AC11"/>
  <c r="AE11" s="1"/>
  <c r="AC10"/>
  <c r="AC9"/>
  <c r="AC8"/>
  <c r="D102" i="23"/>
  <c r="D100"/>
  <c r="AI13" i="1" l="1"/>
  <c r="AI9" i="6"/>
  <c r="AF13" i="20"/>
  <c r="AI16" i="6"/>
  <c r="AI10"/>
  <c r="AI17"/>
  <c r="AK6" i="10"/>
  <c r="AJ6"/>
  <c r="AI15" i="1"/>
  <c r="AI10"/>
  <c r="AI16"/>
  <c r="AE7" i="3"/>
  <c r="AD7"/>
  <c r="AD8" s="1"/>
  <c r="AE10"/>
  <c r="AE11"/>
  <c r="AH15" i="7"/>
  <c r="AI12" i="6"/>
  <c r="AI15"/>
  <c r="AI7"/>
  <c r="AJ7" s="1"/>
  <c r="AI14"/>
  <c r="AI13"/>
  <c r="AI7" i="1"/>
  <c r="AJ7" s="1"/>
  <c r="AI14"/>
  <c r="AI9"/>
  <c r="AI17"/>
  <c r="AI12"/>
  <c r="AI11"/>
  <c r="AH9" i="7"/>
  <c r="AH7"/>
  <c r="AH16"/>
  <c r="AH17"/>
  <c r="AH10"/>
  <c r="AH19"/>
  <c r="AL11" i="10"/>
  <c r="AK11"/>
  <c r="AL21"/>
  <c r="AK21"/>
  <c r="AL15"/>
  <c r="AK15"/>
  <c r="AL14"/>
  <c r="AK14"/>
  <c r="AL17"/>
  <c r="AK17"/>
  <c r="AL13"/>
  <c r="AK13"/>
  <c r="AL8"/>
  <c r="AK8"/>
  <c r="AL16"/>
  <c r="AK16"/>
  <c r="AL9"/>
  <c r="AK9"/>
  <c r="AL12"/>
  <c r="AK12"/>
  <c r="AL18"/>
  <c r="AK18"/>
  <c r="AL19"/>
  <c r="AK19"/>
  <c r="AL7"/>
  <c r="AK7"/>
  <c r="AL10"/>
  <c r="AK10"/>
  <c r="AL20"/>
  <c r="AK20"/>
  <c r="AL6"/>
  <c r="AJ7" s="1"/>
  <c r="AF7" i="4"/>
  <c r="AD7"/>
  <c r="AF9"/>
  <c r="AF10"/>
  <c r="AF12"/>
  <c r="AI7" i="25"/>
  <c r="AF10" i="3"/>
  <c r="AE12"/>
  <c r="AF9"/>
  <c r="AF17" s="1"/>
  <c r="AF10" i="20"/>
  <c r="AF12"/>
  <c r="AF8"/>
  <c r="AF9"/>
  <c r="AF7"/>
  <c r="AD7"/>
  <c r="AF11"/>
  <c r="AI6" i="25"/>
  <c r="AJ6" s="1"/>
  <c r="AI14"/>
  <c r="AI18"/>
  <c r="AI10"/>
  <c r="AI21"/>
  <c r="AI13"/>
  <c r="AI20"/>
  <c r="AL20" s="1"/>
  <c r="AI17"/>
  <c r="AI9"/>
  <c r="AI16"/>
  <c r="AI12"/>
  <c r="AK12" s="1"/>
  <c r="AI19"/>
  <c r="AI8"/>
  <c r="AI11"/>
  <c r="AG17" i="21"/>
  <c r="AH11"/>
  <c r="AH13"/>
  <c r="AH8"/>
  <c r="AH10"/>
  <c r="AH15"/>
  <c r="AH16"/>
  <c r="AH12"/>
  <c r="AH14"/>
  <c r="AH7"/>
  <c r="AH9"/>
  <c r="AF8" i="4"/>
  <c r="AF14" i="20"/>
  <c r="AL19" i="12"/>
  <c r="AK19"/>
  <c r="AL11"/>
  <c r="AK11"/>
  <c r="AL8"/>
  <c r="AK8"/>
  <c r="AL18"/>
  <c r="AK18"/>
  <c r="AL10"/>
  <c r="AK10"/>
  <c r="AL21"/>
  <c r="AK21"/>
  <c r="AL13"/>
  <c r="AK13"/>
  <c r="AK6"/>
  <c r="AL6"/>
  <c r="AK16"/>
  <c r="AL16"/>
  <c r="AK24"/>
  <c r="AL24"/>
  <c r="AL23"/>
  <c r="AK23"/>
  <c r="AL15"/>
  <c r="AK15"/>
  <c r="AL7"/>
  <c r="AK7"/>
  <c r="AL14"/>
  <c r="AK14"/>
  <c r="AL22"/>
  <c r="AK22"/>
  <c r="AL25"/>
  <c r="AK25"/>
  <c r="AL17"/>
  <c r="AK17"/>
  <c r="AL9"/>
  <c r="AK9"/>
  <c r="AK12"/>
  <c r="AL12"/>
  <c r="AK20"/>
  <c r="AL20"/>
  <c r="AK23" i="29"/>
  <c r="AL23"/>
  <c r="AK19"/>
  <c r="AL19"/>
  <c r="AK15"/>
  <c r="AL15"/>
  <c r="AK11"/>
  <c r="AL11"/>
  <c r="AK7"/>
  <c r="AL7"/>
  <c r="AK24"/>
  <c r="AL24"/>
  <c r="AK20"/>
  <c r="AL20"/>
  <c r="AK16"/>
  <c r="AL16"/>
  <c r="AK12"/>
  <c r="AL12"/>
  <c r="AK8"/>
  <c r="AL8"/>
  <c r="AK25"/>
  <c r="AL25"/>
  <c r="AK21"/>
  <c r="AL21"/>
  <c r="AK17"/>
  <c r="AL17"/>
  <c r="AK13"/>
  <c r="AL13"/>
  <c r="AK9"/>
  <c r="AL9"/>
  <c r="AL6"/>
  <c r="AK6"/>
  <c r="AK22"/>
  <c r="AL22"/>
  <c r="AK18"/>
  <c r="AL18"/>
  <c r="AK14"/>
  <c r="AL14"/>
  <c r="AK10"/>
  <c r="AL10"/>
  <c r="AL18" i="27"/>
  <c r="AK18"/>
  <c r="AL10"/>
  <c r="AK10"/>
  <c r="AK9"/>
  <c r="AL9"/>
  <c r="AK17"/>
  <c r="AL17"/>
  <c r="AL20"/>
  <c r="AK20"/>
  <c r="AL12"/>
  <c r="AK12"/>
  <c r="AL7"/>
  <c r="AK7"/>
  <c r="AL15"/>
  <c r="AK15"/>
  <c r="AL23"/>
  <c r="AK23"/>
  <c r="AL22"/>
  <c r="AK22"/>
  <c r="AL14"/>
  <c r="AK14"/>
  <c r="AK6"/>
  <c r="AL6"/>
  <c r="AJ7" s="1"/>
  <c r="AK13"/>
  <c r="AL13"/>
  <c r="AK21"/>
  <c r="AL21"/>
  <c r="AL16"/>
  <c r="AK16"/>
  <c r="AL8"/>
  <c r="AK8"/>
  <c r="AL11"/>
  <c r="AK11"/>
  <c r="AL19"/>
  <c r="AK19"/>
  <c r="AK22" i="11"/>
  <c r="AL22"/>
  <c r="AK18"/>
  <c r="AL18"/>
  <c r="AK14"/>
  <c r="AL14"/>
  <c r="AK10"/>
  <c r="AL10"/>
  <c r="AK23"/>
  <c r="AL23"/>
  <c r="AK19"/>
  <c r="AL19"/>
  <c r="AK15"/>
  <c r="AL15"/>
  <c r="AK11"/>
  <c r="AL11"/>
  <c r="AK7"/>
  <c r="AL7"/>
  <c r="AL6"/>
  <c r="AK6"/>
  <c r="AK20"/>
  <c r="AL20"/>
  <c r="AK16"/>
  <c r="AL16"/>
  <c r="AK12"/>
  <c r="AL12"/>
  <c r="AK8"/>
  <c r="AL8"/>
  <c r="AK21"/>
  <c r="AL21"/>
  <c r="AK17"/>
  <c r="AL17"/>
  <c r="AK13"/>
  <c r="AL13"/>
  <c r="AK9"/>
  <c r="AL9"/>
  <c r="AI15" i="25"/>
  <c r="AK10"/>
  <c r="AL21"/>
  <c r="AH14" i="7"/>
  <c r="AH8"/>
  <c r="AH18"/>
  <c r="AH12"/>
  <c r="AH11"/>
  <c r="AI17" i="22"/>
  <c r="AI13"/>
  <c r="AI9"/>
  <c r="AI6"/>
  <c r="AJ6" s="1"/>
  <c r="AI16"/>
  <c r="AI12"/>
  <c r="AI8"/>
  <c r="AI7"/>
  <c r="AI15"/>
  <c r="AI11"/>
  <c r="AI19"/>
  <c r="AI18"/>
  <c r="AI14"/>
  <c r="AI10"/>
  <c r="AL14" i="1"/>
  <c r="AL9"/>
  <c r="AL17"/>
  <c r="AL12"/>
  <c r="AK11"/>
  <c r="AK7"/>
  <c r="AL7"/>
  <c r="AK18"/>
  <c r="AL18"/>
  <c r="AK10"/>
  <c r="AL10"/>
  <c r="AK13"/>
  <c r="AL13"/>
  <c r="AK16"/>
  <c r="AL8"/>
  <c r="AK8"/>
  <c r="AL15"/>
  <c r="AK15"/>
  <c r="AL12" i="6"/>
  <c r="AL15"/>
  <c r="AK15"/>
  <c r="AK7"/>
  <c r="AK14"/>
  <c r="AL14"/>
  <c r="AL13"/>
  <c r="AL17"/>
  <c r="AK17"/>
  <c r="AK8"/>
  <c r="AL8"/>
  <c r="AK16"/>
  <c r="AL16"/>
  <c r="AK11"/>
  <c r="AL11"/>
  <c r="AK10"/>
  <c r="AL10"/>
  <c r="AK18"/>
  <c r="AL18"/>
  <c r="AK9"/>
  <c r="AL9"/>
  <c r="AL13" i="5"/>
  <c r="AK13"/>
  <c r="AK8"/>
  <c r="AL8"/>
  <c r="AK11"/>
  <c r="AL11"/>
  <c r="AK12"/>
  <c r="AL12"/>
  <c r="AL10"/>
  <c r="AK10"/>
  <c r="AK16"/>
  <c r="AL16"/>
  <c r="AL9"/>
  <c r="AK9"/>
  <c r="AK15"/>
  <c r="AL15"/>
  <c r="AK7"/>
  <c r="AL7"/>
  <c r="AJ8" s="1"/>
  <c r="AL14"/>
  <c r="AK14"/>
  <c r="AE12" i="20"/>
  <c r="AE14"/>
  <c r="AE11"/>
  <c r="AE8"/>
  <c r="AE13"/>
  <c r="AE10"/>
  <c r="AE7"/>
  <c r="AE9"/>
  <c r="Y9" i="32"/>
  <c r="Y10" s="1"/>
  <c r="Y11" s="1"/>
  <c r="AF11" i="4"/>
  <c r="AF17" s="1"/>
  <c r="AE10"/>
  <c r="AE8"/>
  <c r="AE12"/>
  <c r="AE9"/>
  <c r="AE7"/>
  <c r="AD8" i="20" l="1"/>
  <c r="AD8" i="4"/>
  <c r="AD9" s="1"/>
  <c r="AD10" s="1"/>
  <c r="AD11" s="1"/>
  <c r="AD12" s="1"/>
  <c r="AD9" i="20"/>
  <c r="AD10" s="1"/>
  <c r="AD11" s="1"/>
  <c r="AD12" s="1"/>
  <c r="AD13" s="1"/>
  <c r="AD14" s="1"/>
  <c r="AJ7" i="29"/>
  <c r="AJ7" i="12"/>
  <c r="AJ8" s="1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22" s="1"/>
  <c r="AJ23" s="1"/>
  <c r="AJ24" s="1"/>
  <c r="AJ25" s="1"/>
  <c r="AJ8" i="29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22" s="1"/>
  <c r="AJ23" s="1"/>
  <c r="AJ24" s="1"/>
  <c r="AJ8" i="27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22" s="1"/>
  <c r="AJ23" s="1"/>
  <c r="AL24" i="11"/>
  <c r="AJ7"/>
  <c r="AJ8" s="1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22" s="1"/>
  <c r="AJ8" i="10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8" i="1"/>
  <c r="AJ9" s="1"/>
  <c r="AJ10" s="1"/>
  <c r="AL16"/>
  <c r="AL11"/>
  <c r="AL23" s="1"/>
  <c r="AK17"/>
  <c r="AK14"/>
  <c r="AK13" i="6"/>
  <c r="AJ9" i="5"/>
  <c r="AJ10" s="1"/>
  <c r="AJ11" s="1"/>
  <c r="AJ12" s="1"/>
  <c r="AJ13" s="1"/>
  <c r="AJ14" s="1"/>
  <c r="AJ15" s="1"/>
  <c r="AJ16" s="1"/>
  <c r="AD9" i="3"/>
  <c r="AD10" s="1"/>
  <c r="AD11" s="1"/>
  <c r="AD12" s="1"/>
  <c r="AF19" i="20"/>
  <c r="AK7" i="25"/>
  <c r="AL26" i="12"/>
  <c r="AL26" i="29"/>
  <c r="AL30"/>
  <c r="AL24" i="27"/>
  <c r="AL7" i="6"/>
  <c r="AK12"/>
  <c r="AK12" i="1"/>
  <c r="AK9"/>
  <c r="AK20" i="25"/>
  <c r="AK6"/>
  <c r="AL18"/>
  <c r="AK15"/>
  <c r="AK9"/>
  <c r="AL12"/>
  <c r="AK21"/>
  <c r="AL6"/>
  <c r="AL9"/>
  <c r="AK18"/>
  <c r="AL8"/>
  <c r="AL15"/>
  <c r="AK8"/>
  <c r="AK14"/>
  <c r="AL19"/>
  <c r="AL16"/>
  <c r="AK13"/>
  <c r="AL7"/>
  <c r="AK17"/>
  <c r="AL11"/>
  <c r="AK11"/>
  <c r="AK19"/>
  <c r="AL13"/>
  <c r="AL14"/>
  <c r="AK16"/>
  <c r="AL17"/>
  <c r="AL10"/>
  <c r="AI8" i="21"/>
  <c r="AI12"/>
  <c r="AI16"/>
  <c r="AI11"/>
  <c r="AI15"/>
  <c r="AI10"/>
  <c r="AI14"/>
  <c r="AI9"/>
  <c r="AI13"/>
  <c r="AI7"/>
  <c r="AJ7" s="1"/>
  <c r="AI18" i="7"/>
  <c r="AL18" s="1"/>
  <c r="AL30" i="27"/>
  <c r="AI13" i="7"/>
  <c r="AI8"/>
  <c r="AI16"/>
  <c r="AI11"/>
  <c r="AI19"/>
  <c r="AI14"/>
  <c r="AI7"/>
  <c r="AI9"/>
  <c r="AI17"/>
  <c r="AI12"/>
  <c r="AI6"/>
  <c r="AJ6" s="1"/>
  <c r="AI15"/>
  <c r="AI10"/>
  <c r="AL14" i="22"/>
  <c r="AK14"/>
  <c r="AL19"/>
  <c r="AK19"/>
  <c r="AL15"/>
  <c r="AK15"/>
  <c r="AL8"/>
  <c r="AK8"/>
  <c r="AL16"/>
  <c r="AK16"/>
  <c r="AL9"/>
  <c r="AK9"/>
  <c r="AL17"/>
  <c r="AK17"/>
  <c r="AL10"/>
  <c r="AK10"/>
  <c r="AL18"/>
  <c r="AK18"/>
  <c r="AL11"/>
  <c r="AK11"/>
  <c r="AL7"/>
  <c r="AK7"/>
  <c r="AL12"/>
  <c r="AK12"/>
  <c r="AL6"/>
  <c r="AJ7" s="1"/>
  <c r="AK6"/>
  <c r="AL13"/>
  <c r="AK13"/>
  <c r="AL23" i="5"/>
  <c r="AJ7" i="25" l="1"/>
  <c r="AJ8" s="1"/>
  <c r="AJ9" s="1"/>
  <c r="AJ10" s="1"/>
  <c r="AJ11" s="1"/>
  <c r="AJ12" s="1"/>
  <c r="AJ13" s="1"/>
  <c r="AJ14" s="1"/>
  <c r="AJ15" s="1"/>
  <c r="AJ16" s="1"/>
  <c r="AJ17" s="1"/>
  <c r="AJ18" s="1"/>
  <c r="AJ19" s="1"/>
  <c r="AJ20" s="1"/>
  <c r="AJ8" i="22"/>
  <c r="AJ9" s="1"/>
  <c r="AJ10" s="1"/>
  <c r="AJ11" s="1"/>
  <c r="AJ12" s="1"/>
  <c r="AJ13" s="1"/>
  <c r="AJ14" s="1"/>
  <c r="AJ15" s="1"/>
  <c r="AJ16" s="1"/>
  <c r="AJ17" s="1"/>
  <c r="AJ18" s="1"/>
  <c r="AJ11" i="1"/>
  <c r="AJ12" s="1"/>
  <c r="AJ13" s="1"/>
  <c r="AJ14" s="1"/>
  <c r="AJ15" s="1"/>
  <c r="AJ16" s="1"/>
  <c r="AJ17" s="1"/>
  <c r="AJ18" s="1"/>
  <c r="AL23" i="6"/>
  <c r="AJ8"/>
  <c r="AJ9" s="1"/>
  <c r="AJ10" s="1"/>
  <c r="AJ11" s="1"/>
  <c r="AJ12" s="1"/>
  <c r="AJ13" s="1"/>
  <c r="AJ14" s="1"/>
  <c r="AJ15" s="1"/>
  <c r="AJ16" s="1"/>
  <c r="AJ17" s="1"/>
  <c r="AJ18" s="1"/>
  <c r="AL24" i="22"/>
  <c r="AL24" i="25"/>
  <c r="AK18" i="7"/>
  <c r="AK13" i="21"/>
  <c r="AL13"/>
  <c r="AK14"/>
  <c r="AL14"/>
  <c r="AL15"/>
  <c r="AK15"/>
  <c r="AL16"/>
  <c r="AK16"/>
  <c r="AK8"/>
  <c r="AL8"/>
  <c r="AL7"/>
  <c r="AK7"/>
  <c r="AK9"/>
  <c r="AL9"/>
  <c r="AK10"/>
  <c r="AL10"/>
  <c r="AL11"/>
  <c r="AK11"/>
  <c r="AK12"/>
  <c r="AL12"/>
  <c r="AL10" i="7"/>
  <c r="AK10"/>
  <c r="AL6"/>
  <c r="AK6"/>
  <c r="AL17"/>
  <c r="AK17"/>
  <c r="AL7"/>
  <c r="AK7"/>
  <c r="AL19"/>
  <c r="AK19"/>
  <c r="AL16"/>
  <c r="AK16"/>
  <c r="AL13"/>
  <c r="AK13"/>
  <c r="AL15"/>
  <c r="AK15"/>
  <c r="AL12"/>
  <c r="AK12"/>
  <c r="AL9"/>
  <c r="AK9"/>
  <c r="AL14"/>
  <c r="AK14"/>
  <c r="AL11"/>
  <c r="AK11"/>
  <c r="AL8"/>
  <c r="AK8"/>
  <c r="AL24" i="10"/>
  <c r="AJ8" i="21" l="1"/>
  <c r="AJ7" i="7"/>
  <c r="AJ8" s="1"/>
  <c r="AJ9" s="1"/>
  <c r="AJ10" s="1"/>
  <c r="AJ11" s="1"/>
  <c r="AJ12" s="1"/>
  <c r="AJ13" s="1"/>
  <c r="AJ14" s="1"/>
  <c r="AJ15" s="1"/>
  <c r="AJ16" s="1"/>
  <c r="AJ17" s="1"/>
  <c r="AJ18" s="1"/>
  <c r="AJ19" s="1"/>
  <c r="AJ9" i="21"/>
  <c r="AJ10" s="1"/>
  <c r="AJ11" s="1"/>
  <c r="AJ12" s="1"/>
  <c r="AJ13" s="1"/>
  <c r="AJ14" s="1"/>
  <c r="AJ15" s="1"/>
  <c r="AJ16" s="1"/>
  <c r="AL22"/>
  <c r="AL26" i="7"/>
  <c r="AF8" i="26" l="1"/>
  <c r="AF7"/>
  <c r="AD8" l="1"/>
  <c r="AF11"/>
  <c r="AF9" l="1"/>
  <c r="AF12"/>
  <c r="AF14"/>
  <c r="AF10"/>
  <c r="AF13"/>
  <c r="AF19" l="1"/>
  <c r="AD9"/>
  <c r="AD10" s="1"/>
  <c r="AD11" s="1"/>
  <c r="AD12" s="1"/>
  <c r="AD13" s="1"/>
  <c r="AD14" s="1"/>
  <c r="AL28" i="11"/>
</calcChain>
</file>

<file path=xl/sharedStrings.xml><?xml version="1.0" encoding="utf-8"?>
<sst xmlns="http://schemas.openxmlformats.org/spreadsheetml/2006/main" count="2280" uniqueCount="340">
  <si>
    <t>CONCOURS QUALIFICATIFS 3° D. et 4° Div.</t>
  </si>
  <si>
    <t>SAISON 2013.2014</t>
  </si>
  <si>
    <t>Jeu</t>
  </si>
  <si>
    <t>1ère phase</t>
  </si>
  <si>
    <t>C1 1ère partie</t>
  </si>
  <si>
    <t>2ème phase</t>
  </si>
  <si>
    <t>C1 2ème partie</t>
  </si>
  <si>
    <t>C2 1ère partie</t>
  </si>
  <si>
    <t>3ème phase</t>
  </si>
  <si>
    <t>Finale C1</t>
  </si>
  <si>
    <t>Finale C2</t>
  </si>
  <si>
    <t>Finale C3</t>
  </si>
  <si>
    <t>Equipes</t>
  </si>
  <si>
    <t>AS</t>
  </si>
  <si>
    <t>Vainqueur C1</t>
  </si>
  <si>
    <t>Finaliste C1</t>
  </si>
  <si>
    <t>TOTAL</t>
  </si>
  <si>
    <t>Vainqueur C2</t>
  </si>
  <si>
    <t>Finaliste C2</t>
  </si>
  <si>
    <t>Vainqueur C3</t>
  </si>
  <si>
    <t>Finaliste C3</t>
  </si>
  <si>
    <t>LIEU :</t>
  </si>
  <si>
    <t>DATE :</t>
  </si>
  <si>
    <t>Participation</t>
  </si>
  <si>
    <t>Gagnant du 1</t>
  </si>
  <si>
    <t>Gagnant du 2</t>
  </si>
  <si>
    <t>Gagnant du 3</t>
  </si>
  <si>
    <t>Gagnant du 4</t>
  </si>
  <si>
    <t>Gagnant du 5</t>
  </si>
  <si>
    <t>Gagnant du 6</t>
  </si>
  <si>
    <t>Gagnant du 7</t>
  </si>
  <si>
    <t>Gagnant du 8</t>
  </si>
  <si>
    <t>Perdant du 1</t>
  </si>
  <si>
    <t>Perdant du 2</t>
  </si>
  <si>
    <t>Perdant du 3</t>
  </si>
  <si>
    <t>Perdant du 4</t>
  </si>
  <si>
    <t>Perdant du 5</t>
  </si>
  <si>
    <t>Perdant du 6</t>
  </si>
  <si>
    <t>Perdant du 7</t>
  </si>
  <si>
    <t>Perdant du 8</t>
  </si>
  <si>
    <t>Gagant du 5</t>
  </si>
  <si>
    <t>Formule</t>
  </si>
  <si>
    <t>G.</t>
  </si>
  <si>
    <t>P</t>
  </si>
  <si>
    <t xml:space="preserve">LIEU : </t>
  </si>
  <si>
    <t>CODE vérouillage AB</t>
  </si>
  <si>
    <t>6 équipes</t>
  </si>
  <si>
    <t>7 équipes</t>
  </si>
  <si>
    <t>13 équipes</t>
  </si>
  <si>
    <t>C1 3ème partie</t>
  </si>
  <si>
    <t>5 équipes</t>
  </si>
  <si>
    <t>C2 2ème partie</t>
  </si>
  <si>
    <t>Jeton unique : aucun</t>
  </si>
  <si>
    <t>C3 1ère partie</t>
  </si>
  <si>
    <t>4ème phase</t>
  </si>
  <si>
    <t>Parties gagnées</t>
  </si>
  <si>
    <t>Partic.</t>
  </si>
  <si>
    <t>8 équipes</t>
  </si>
  <si>
    <t>9 équipes</t>
  </si>
  <si>
    <t>10 équipes</t>
  </si>
  <si>
    <t>12 équipes</t>
  </si>
  <si>
    <t>16 équipes</t>
  </si>
  <si>
    <t>Jetons en double : 1 à 8</t>
  </si>
  <si>
    <t>1/2 Finaliste C1</t>
  </si>
  <si>
    <t>1/2 Finaliste C2</t>
  </si>
  <si>
    <t>1/2 Finaliste C3</t>
  </si>
  <si>
    <t xml:space="preserve">               ATTRIBUTION POINTS 16 QUADRETTES 3° D. OU 4° D.</t>
  </si>
  <si>
    <t>CONCOURS QUALIFICATIFS 3e ET 4e DIVISION</t>
  </si>
  <si>
    <t xml:space="preserve">La fiche d’inscription d’équipe au 1er concours vaut déclaration d’équipe. Le capitaine devra figurer sur la 1ère ligne et préciser son AS d’appartenance. </t>
  </si>
  <si>
    <t xml:space="preserve">Les AS organisatrices devront communiquer au CBD le nombre d’inscrits une semaine avant le début de la compétition </t>
  </si>
  <si>
    <t xml:space="preserve">Participer à 1 seul concours par week-end </t>
  </si>
  <si>
    <t xml:space="preserve">Pour tous les concours le nom du capitaine d’équipe sur la première ligne de la fiche d’inscription est obligatoire </t>
  </si>
  <si>
    <t xml:space="preserve">Compétitions non ouvertes aux -18 </t>
  </si>
  <si>
    <t xml:space="preserve">Pour les 3e D : 2 joueurs maxi de 4e D (idem fédéraux) </t>
  </si>
  <si>
    <t xml:space="preserve">Partie en 13 points ou 2h </t>
  </si>
  <si>
    <t xml:space="preserve">Début de la compétition au choix de l’organisateur (1 ou 2 parties le matin) </t>
  </si>
  <si>
    <t xml:space="preserve">Tenue obligatoire : haut </t>
  </si>
  <si>
    <t xml:space="preserve">Présence indispensable d’un arbitre </t>
  </si>
  <si>
    <t xml:space="preserve">Attention : ces points sont distincts des points de qualification servant au classement : voir plus bas. </t>
  </si>
  <si>
    <r>
      <t xml:space="preserve">- </t>
    </r>
    <r>
      <rPr>
        <b/>
        <sz val="11"/>
        <color rgb="FF000000"/>
        <rFont val="Times New Roman"/>
        <family val="1"/>
      </rPr>
      <t xml:space="preserve">DEROULEMENT DE LA COMPETITION : tirage unique (voir tableau en annexe) </t>
    </r>
  </si>
  <si>
    <t xml:space="preserve">1ère phase: </t>
  </si>
  <si>
    <t xml:space="preserve">1er concours (C1) ; 1ère partie : tirage intégral (2 équipes de la même AS ne peuvent se rencontrer à cette partie) </t>
  </si>
  <si>
    <t xml:space="preserve">2e phase: </t>
  </si>
  <si>
    <t xml:space="preserve"> 2ème partie de C1 </t>
  </si>
  <si>
    <t xml:space="preserve"> 1ère partie du 2ème concours (C2) qui oppose les perdants de la 1ère partie de C1 </t>
  </si>
  <si>
    <t xml:space="preserve">3e phase : </t>
  </si>
  <si>
    <t xml:space="preserve"> 3ème partie de C1 </t>
  </si>
  <si>
    <t xml:space="preserve"> 2ème partie de C2 </t>
  </si>
  <si>
    <t xml:space="preserve"> 1ère partie du 3ème concours (C3) qui oppose les perdants de la 2ème partie de C1 </t>
  </si>
  <si>
    <t xml:space="preserve">4e phase: finales des 3 concours </t>
  </si>
  <si>
    <t>Equipe de 4 ou 5 joueurs : 3 joueurs de l’équipe de base à chaque concours. La présence du capitaine n’est pas obligatoire, mais son nom doit figurer sur la fiche</t>
  </si>
  <si>
    <t xml:space="preserve"> et porter la mention « absent » à la suite de son nom. </t>
  </si>
  <si>
    <t xml:space="preserve">Tirage en présence de l’arbitre (ou d’un responsable de secteur pour les 8 quadrettes) et des capitaines des équipes présentes qui le souhaitent ½ heure avant </t>
  </si>
  <si>
    <t xml:space="preserve">le début de la compétition. En cas d’absence ou de retard de l’arbitre, le tirage se fera en présence de 2 représentants des joueurs. Ces joueurs </t>
  </si>
  <si>
    <t xml:space="preserve">ne seront pas licenciés dans l’AS organisatrice ni dans son Secteur (dans la mesure du possible). Ils seront garants du bon déroulement du tirage. </t>
  </si>
  <si>
    <r>
      <t xml:space="preserve">Concours considéré comme un concours « promotion » pour l’attribution des points de catégorisation, </t>
    </r>
    <r>
      <rPr>
        <sz val="11"/>
        <color rgb="FF0070C0"/>
        <rFont val="Times New Roman"/>
        <family val="1"/>
      </rPr>
      <t>seules les parties</t>
    </r>
    <r>
      <rPr>
        <sz val="11"/>
        <color rgb="FF000000"/>
        <rFont val="Times New Roman"/>
        <family val="1"/>
      </rPr>
      <t xml:space="preserve"> </t>
    </r>
    <r>
      <rPr>
        <sz val="11"/>
        <color rgb="FF0070C0"/>
        <rFont val="Times New Roman"/>
        <family val="1"/>
      </rPr>
      <t>gagnées dans le C1 sont prises</t>
    </r>
  </si>
  <si>
    <t xml:space="preserve"> en considération. </t>
  </si>
  <si>
    <t xml:space="preserve">de la compétition. En cas d’absence ou de retard de l’arbitre, le tirage se fera en présence de 2 représentants des joueurs. Ces joueurs ne seront pas licenciés dans </t>
  </si>
  <si>
    <t xml:space="preserve">l’AS organisatrice ni dans son Secteur (dans la mesure du possible). Ils seront garants du bon déroulement du tirage. </t>
  </si>
  <si>
    <r>
      <t xml:space="preserve">* </t>
    </r>
    <r>
      <rPr>
        <b/>
        <sz val="14"/>
        <color rgb="FF000000"/>
        <rFont val="Times New Roman"/>
        <family val="1"/>
      </rPr>
      <t xml:space="preserve">REGLEMENT </t>
    </r>
  </si>
  <si>
    <r>
      <t xml:space="preserve">* </t>
    </r>
    <r>
      <rPr>
        <b/>
        <sz val="14"/>
        <color rgb="FF000000"/>
        <rFont val="Times New Roman"/>
        <family val="1"/>
      </rPr>
      <t xml:space="preserve">INSCRIPTIONS </t>
    </r>
  </si>
  <si>
    <r>
      <t>=si(y2=y3;"Gagnant du 1";si(y2</t>
    </r>
    <r>
      <rPr>
        <sz val="14"/>
        <color rgb="FFFF0000"/>
        <rFont val="Times New Roman"/>
        <family val="1"/>
      </rPr>
      <t>&gt;</t>
    </r>
    <r>
      <rPr>
        <sz val="14"/>
        <color theme="1"/>
        <rFont val="Times New Roman"/>
        <family val="1"/>
      </rPr>
      <t>y3;x2;x3))</t>
    </r>
  </si>
  <si>
    <r>
      <t>=si(y2=y3;"Perdant du 1";si(y2</t>
    </r>
    <r>
      <rPr>
        <sz val="14"/>
        <color rgb="FF00B0F0"/>
        <rFont val="Times New Roman"/>
        <family val="1"/>
      </rPr>
      <t>&lt;</t>
    </r>
    <r>
      <rPr>
        <sz val="14"/>
        <color theme="1"/>
        <rFont val="Times New Roman"/>
        <family val="1"/>
      </rPr>
      <t>y3;x2;x3))</t>
    </r>
  </si>
  <si>
    <t>EQUIPES</t>
  </si>
  <si>
    <t>Tirage</t>
  </si>
  <si>
    <t>OFFICE</t>
  </si>
  <si>
    <t>Jetons  : 1 à 16</t>
  </si>
  <si>
    <t>Score</t>
  </si>
  <si>
    <t>Pts</t>
  </si>
  <si>
    <t>Rang</t>
  </si>
  <si>
    <t>Class.1</t>
  </si>
  <si>
    <t>NOMS</t>
  </si>
  <si>
    <t>15 équipes</t>
  </si>
  <si>
    <t>BAREME</t>
  </si>
  <si>
    <t>1/2 Finaliste</t>
  </si>
  <si>
    <t>Gagnant C1</t>
  </si>
  <si>
    <t>Perdu 2 parties</t>
  </si>
  <si>
    <t>Gagnant C2</t>
  </si>
  <si>
    <t>Gagnant C3</t>
  </si>
  <si>
    <t>Jetons  : 1 à 15</t>
  </si>
  <si>
    <t xml:space="preserve">* 2ème partie de C1 </t>
  </si>
  <si>
    <t xml:space="preserve">* 1ère partie du 2ème concours (C2) qui oppose les perdants de la 1ère partie de C1 </t>
  </si>
  <si>
    <t xml:space="preserve">* 3ème partie de C1 </t>
  </si>
  <si>
    <t xml:space="preserve">* 2ème partie de C2 </t>
  </si>
  <si>
    <t xml:space="preserve">* 1ère partie du 3ème concours (C3) qui oppose les perdants de la 2ème partie de C1 </t>
  </si>
  <si>
    <t>Jetons  : 1 à 14</t>
  </si>
  <si>
    <t>14 équipes</t>
  </si>
  <si>
    <t>Jetons  : 1 à 13</t>
  </si>
  <si>
    <t>Jetons  : 1 à 12</t>
  </si>
  <si>
    <t>CLASSEMENT GENERAL</t>
  </si>
  <si>
    <t>Jetons  : 1 à 10</t>
  </si>
  <si>
    <t>11 équipes</t>
  </si>
  <si>
    <t>Jetons  : 1 à 11</t>
  </si>
  <si>
    <t>Jetons  : 1 à 8</t>
  </si>
  <si>
    <t>Jetons  : 1 à 7</t>
  </si>
  <si>
    <t>Jetons  : 1 à 9</t>
  </si>
  <si>
    <t>Jetons  : 1 à 6</t>
  </si>
  <si>
    <t>Jetons  : 1 à 5</t>
  </si>
  <si>
    <t xml:space="preserve">SAISON </t>
  </si>
  <si>
    <t>SAISON</t>
  </si>
  <si>
    <t>18 équipes</t>
  </si>
  <si>
    <t>Jetons  : 1 à 18</t>
  </si>
  <si>
    <t>Jetons  : 1 à 17</t>
  </si>
  <si>
    <t>17 équipes</t>
  </si>
  <si>
    <t>20 équipes</t>
  </si>
  <si>
    <t>Jetons  : 1 à 20</t>
  </si>
  <si>
    <t>19 équipes</t>
  </si>
  <si>
    <t>Jetons  : 1 à 19</t>
  </si>
  <si>
    <t>Office 1  à 0 ou 13 à 9</t>
  </si>
  <si>
    <r>
      <rPr>
        <u/>
        <sz val="12"/>
        <color rgb="FF000000"/>
        <rFont val="Times New Roman"/>
        <family val="1"/>
      </rPr>
      <t xml:space="preserve">Tirage en présence de l’arbitre </t>
    </r>
    <r>
      <rPr>
        <sz val="12"/>
        <color rgb="FF000000"/>
        <rFont val="Times New Roman"/>
        <family val="1"/>
      </rPr>
      <t xml:space="preserve">(ou d’un responsable de secteur pour les 8 quadrettes) et des capitaines des équipes présentes qui le souhaitent ½ heure avant le début </t>
    </r>
  </si>
  <si>
    <r>
      <t xml:space="preserve">Concours considéré comme un concours « promotion » pour l’attribution des points de catégorisation, </t>
    </r>
    <r>
      <rPr>
        <sz val="12"/>
        <color rgb="FFFF0000"/>
        <rFont val="Times New Roman"/>
        <family val="1"/>
      </rPr>
      <t>2 points au vainqueur du C1, 1 point au finaliste du C1</t>
    </r>
  </si>
  <si>
    <r>
      <t xml:space="preserve">* </t>
    </r>
    <r>
      <rPr>
        <b/>
        <sz val="14"/>
        <color rgb="FF000000"/>
        <rFont val="Times New Roman"/>
        <family val="1"/>
      </rPr>
      <t xml:space="preserve">DEROULEMENT DE LA COMPETITION : </t>
    </r>
    <r>
      <rPr>
        <b/>
        <u/>
        <sz val="14"/>
        <color rgb="FF000000"/>
        <rFont val="Times New Roman"/>
        <family val="1"/>
      </rPr>
      <t>tirage unique</t>
    </r>
    <r>
      <rPr>
        <b/>
        <sz val="14"/>
        <color rgb="FF000000"/>
        <rFont val="Times New Roman"/>
        <family val="1"/>
      </rPr>
      <t xml:space="preserve"> (voir tableau en annexe) </t>
    </r>
  </si>
  <si>
    <t>- ATTRIBUTION POINTS de QUALIFICATION et CLASSEMENT :</t>
  </si>
  <si>
    <t>servent qu’au classement des équipes après les 5 concours qualificatifs (4 seulement pour le premier du classement).</t>
  </si>
  <si>
    <t xml:space="preserve">L’AS organisatrice devra adresser, le lendemain, au CBD les fiches d’inscription et le tableau de la compétition pour </t>
  </si>
  <si>
    <t>que ces points soient comptabilisés par le bureau permanent.</t>
  </si>
  <si>
    <t>Classement après le 4ème week-end</t>
  </si>
  <si>
    <t>● le 1er de chaque division sera qualifié pour le championnat de France et ne participera pas à la compétition du 5ème week-end</t>
  </si>
  <si>
    <t>Equipes participantes du 5ème week-end (1 seule journée ; 1 seul site par division)</t>
  </si>
  <si>
    <t>Classement à l’issue du 5ème week-end</t>
  </si>
  <si>
    <t>● En cas d’égalité : on retiendra le nombre de C1 gagnés, puis le nombre de finales de C1 jouées, puis le nombre de ½</t>
  </si>
  <si>
    <t>finale de C1 jouées, puis le nombre de C2 gagnés, puis le nombre de finales de C2 jouées, puis le nombre de C3</t>
  </si>
  <si>
    <t>gagnées, puis le nombre de finales de C3 jouées, etc.</t>
  </si>
  <si>
    <t>● NB : le nombre d’équipes qualifiées pour le championnat de France peut être revu en fonction du nombre de qualifiés</t>
  </si>
  <si>
    <t>● PRIX MINIMUM (barème concours « promo »)</t>
  </si>
  <si>
    <t>Inscriptions : 25 €</t>
  </si>
  <si>
    <t>Indemnités des 2 premières parties : 25 €</t>
  </si>
  <si>
    <t>Indemnités des autres parties : 35 €</t>
  </si>
  <si>
    <t xml:space="preserve">Ce sont, dans chaque division, les 16 équipes classées du 2ème au 17ème rang à l’issue du 4ème week-end ; ces équipes </t>
  </si>
  <si>
    <t>devront adresser leur fiche et le chèque de 25 € pour confirmer leur participation.</t>
  </si>
  <si>
    <t>● le 1er du classement final sera qualifié pour le championnat de France ainsi que le vainqueur du concours C1,</t>
  </si>
  <si>
    <t xml:space="preserve"> s’il se trouve 1er au classement final c’est le 2ème du classement final qui est qualifié</t>
  </si>
  <si>
    <t xml:space="preserve">* En 4e D : Les 4 équipes suivantes iront aux fédéraux ainsi que les vainqueurs des concours C2 et C3, si les vainqueurs </t>
  </si>
  <si>
    <t xml:space="preserve">sont classés parmi les 4 équipes suivantes c’est les 2 suivantes qui participeront aux fédéraux sans passer par les </t>
  </si>
  <si>
    <t>éliminatoires de secteurs en conséquence 26 qualifiés en éliminatoires de secteur au lieu de 32)</t>
  </si>
  <si>
    <t xml:space="preserve">* En 3e D : Les 4 équipes suivantes iront aux fédéraux ainsi que les vainqueurs des concours C2 et C3, si les vainqueurs </t>
  </si>
  <si>
    <t xml:space="preserve">sont classés parmi les 4 équipes suivantes c’est les 2 suivantes qui participeront aux fédéraux sans passer </t>
  </si>
  <si>
    <t>par les poules (les 2éme 3éme et 4éme seront 1ers de poules et les 5éme, 6éme et 7éme seront 2e de poules)</t>
  </si>
  <si>
    <t>*Toute les formules sont verrouillées ; pour mettre ou enlever le verrouillage il faut aller dans révision , ôter la protection le code est : AB</t>
  </si>
  <si>
    <t>Il ne faut pas déverrouiller car en cliquant  sur une cellule avec formule on  risque de l’enlever</t>
  </si>
  <si>
    <t>* S'entrainer à faire des simulations avant le concours</t>
  </si>
  <si>
    <t>*Pour tous renseignements Alain Besson Tél : 06 88 68 20 32</t>
  </si>
  <si>
    <t xml:space="preserve">Explication pour utiliser le logiciel  </t>
  </si>
  <si>
    <t>*L'Office doit toujours être le dernier chiffre</t>
  </si>
  <si>
    <t>Alain</t>
  </si>
  <si>
    <t>Marc</t>
  </si>
  <si>
    <t>Michel</t>
  </si>
  <si>
    <t>Guy</t>
  </si>
  <si>
    <t>Marcel</t>
  </si>
  <si>
    <t>Pts(1)</t>
  </si>
  <si>
    <t>Pts(2)</t>
  </si>
  <si>
    <t>Pts(3)</t>
  </si>
  <si>
    <t>Points</t>
  </si>
  <si>
    <t>POINTS</t>
  </si>
  <si>
    <t>Ex aequo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</si>
  <si>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</si>
  <si>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</si>
  <si>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</si>
  <si>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</si>
  <si>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</si>
  <si>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</si>
  <si>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</si>
  <si>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</si>
  <si>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</si>
  <si>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</si>
  <si>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</si>
  <si>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</si>
  <si>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</si>
  <si>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</si>
  <si>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</si>
  <si>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</si>
  <si>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</si>
  <si>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</si>
  <si>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</si>
  <si>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</si>
  <si>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</si>
  <si>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</si>
  <si>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</si>
  <si>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</si>
  <si>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</si>
  <si>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</si>
  <si>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</si>
  <si>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</si>
  <si>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</si>
  <si>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</si>
  <si>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</si>
  <si>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</si>
  <si>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Pts(4)</t>
  </si>
  <si>
    <t>Jetons  : 1 à 22</t>
  </si>
  <si>
    <t>1/2 F</t>
  </si>
  <si>
    <t>FINALE</t>
  </si>
  <si>
    <t>SAISON :</t>
  </si>
  <si>
    <t xml:space="preserve">Office 1  à 0 </t>
  </si>
  <si>
    <t>*Mettre les noms et prénoms des équipes dans les colonnes B</t>
  </si>
  <si>
    <t xml:space="preserve">*Il n’y a plus qu’à noter les scores dans chaque partie (Colonnes J, O et T) et le classement se fait automatiquement </t>
  </si>
  <si>
    <t>21 équipes</t>
  </si>
  <si>
    <t>*Tirage des chiffres de 1 à 5 jusqu'à 22 dans la colonne D les noms , prénoms  s’inscrivent automatiquement dans les colonnes H et W</t>
  </si>
  <si>
    <t xml:space="preserve">                   ou       besson.alain0245@orange.fr</t>
  </si>
  <si>
    <t>Class.</t>
  </si>
  <si>
    <t xml:space="preserve"> </t>
  </si>
  <si>
    <t>Résultats</t>
  </si>
  <si>
    <t>Parties Gagnées</t>
  </si>
  <si>
    <t>4 parties à 2 pts</t>
  </si>
  <si>
    <t>3 parties à 2 pts</t>
  </si>
  <si>
    <t>2 parties à 2 pts</t>
  </si>
  <si>
    <t>1 partie à 2 pts</t>
  </si>
  <si>
    <t>0 pt</t>
  </si>
  <si>
    <t>1 partie à 2 pts + 2 parties à 1 pt</t>
  </si>
  <si>
    <t>1 partie à 2 pts + 1 parties à 1 pt</t>
  </si>
  <si>
    <t>3 parties à 1 pt</t>
  </si>
  <si>
    <t>2 parties à 1 pt</t>
  </si>
  <si>
    <t>1 parties à 1 pt</t>
  </si>
  <si>
    <t>1 partie à 2 pt</t>
  </si>
  <si>
    <t>Pts(1/2)</t>
  </si>
  <si>
    <t>Pts(F)</t>
  </si>
  <si>
    <t>30.5.</t>
  </si>
  <si>
    <t>1 parties à 2 pts + Off.</t>
  </si>
  <si>
    <t>1 parties à 2 pts + Off;</t>
  </si>
  <si>
    <t>2 parties à 2 pts + Off.</t>
  </si>
  <si>
    <t>0 parties à 1 pt</t>
  </si>
  <si>
    <t>1 parties à 1 pt + Off.</t>
  </si>
  <si>
    <t>3 parties à 2 pts + OFF</t>
  </si>
  <si>
    <t>Finale  Off.</t>
  </si>
  <si>
    <t xml:space="preserve">2 parties à 2 pts </t>
  </si>
  <si>
    <t>1 partie à 2 pts + Off;</t>
  </si>
  <si>
    <t>Finale Off.</t>
  </si>
  <si>
    <t>1 partie à 2 pts + 1 parties à 1 pt + Off.</t>
  </si>
  <si>
    <t>2 parties à 1 pt + Off.</t>
  </si>
  <si>
    <t xml:space="preserve">1 partie à 1 pt </t>
  </si>
  <si>
    <t>1 partie à 1 pt</t>
  </si>
  <si>
    <t>1 partie à 1 pt + Off.</t>
  </si>
  <si>
    <t>1 Off.</t>
  </si>
  <si>
    <t>1 partie à 2 pts + 2 parties à 1 pt + Off.</t>
  </si>
  <si>
    <t xml:space="preserve">1 Off. </t>
  </si>
  <si>
    <t>1 partie à 2 pts + Off.</t>
  </si>
  <si>
    <t>2 parties à 2 pts + Off;</t>
  </si>
  <si>
    <t>0 partie + Off</t>
  </si>
  <si>
    <t>0 parties  + Off.</t>
  </si>
  <si>
    <t>0 partie + Off.</t>
  </si>
  <si>
    <t>1 partie à 2 pts + OFF.</t>
  </si>
  <si>
    <t>4 à 2 pts</t>
  </si>
  <si>
    <t xml:space="preserve">Office C1 </t>
  </si>
  <si>
    <t>1 Pt</t>
  </si>
  <si>
    <t>Office C2 ou C3</t>
  </si>
  <si>
    <t>0.5 Pt</t>
  </si>
  <si>
    <t>Perdants 1ère partie + C2</t>
  </si>
  <si>
    <t>3 à 2 pts</t>
  </si>
  <si>
    <t>2 à 2 pts</t>
  </si>
  <si>
    <t>3 à 1 pt</t>
  </si>
  <si>
    <t>1 à 2 pts + 2 à 1 pt</t>
  </si>
  <si>
    <t>1 à 2 pts + 1 à 1 pt</t>
  </si>
  <si>
    <t xml:space="preserve">1 à 2 pts </t>
  </si>
  <si>
    <t>2 à 1 pt</t>
  </si>
  <si>
    <t>1 à 1 pt</t>
  </si>
  <si>
    <t>REGLEMENT 2017-2018</t>
  </si>
  <si>
    <t>Pour la bonne organisation du championnat : pour chacune des 4 premières journées, adresser fiche d’inscription et chèque de 25 euros à l'ordre du CBD</t>
  </si>
  <si>
    <t xml:space="preserve">Bien indiquer lors de votre envoile lieu des 4 compétitions choisies ainsi que le Nom et numéro de téléphone du capitaine d’équipe au dos de chaque chèque </t>
  </si>
  <si>
    <t>avant le 1er octobre 2017 (ou 100 €)</t>
  </si>
  <si>
    <t>Pour les 3e D : La composition de l'équipe peut comporter un seul M3 (Règlement fédéral)</t>
  </si>
  <si>
    <r>
      <rPr>
        <u/>
        <sz val="12"/>
        <color theme="1"/>
        <rFont val="Times New Roman"/>
        <family val="1"/>
      </rPr>
      <t>Ces points de qualification n’ont rien à voir avec les points de catégorisation pour la montée ou le maintien</t>
    </r>
    <r>
      <rPr>
        <sz val="12"/>
        <color theme="1"/>
        <rFont val="Times New Roman"/>
        <family val="1"/>
      </rPr>
      <t xml:space="preserve"> : ils ne </t>
    </r>
  </si>
  <si>
    <r>
      <t>L’attribution des points tient compte de la participation, du nombre de parties gagnées</t>
    </r>
    <r>
      <rPr>
        <sz val="12"/>
        <color rgb="FFFF0000"/>
        <rFont val="Times New Roman"/>
        <family val="1"/>
      </rPr>
      <t xml:space="preserve"> (1 point pour les parties</t>
    </r>
  </si>
  <si>
    <r>
      <t xml:space="preserve"> </t>
    </r>
    <r>
      <rPr>
        <sz val="12"/>
        <color rgb="FFFF0000"/>
        <rFont val="Times New Roman"/>
        <family val="1"/>
      </rPr>
      <t>gagnées d’office dans le C1 et 1/2 point pour les parties gagnées d'office dans le C2 et C3) .</t>
    </r>
    <r>
      <rPr>
        <sz val="12"/>
        <color theme="1"/>
        <rFont val="Times New Roman"/>
        <family val="1"/>
      </rPr>
      <t xml:space="preserve"> </t>
    </r>
  </si>
  <si>
    <t xml:space="preserve">Ci-après exemple pour un concours complet </t>
  </si>
  <si>
    <t>attribué par la Fédération. Il peut être égal mais non supérieur qu'aux Fédéraux</t>
  </si>
  <si>
    <t xml:space="preserve"> (Validation fin janvier du nombre de qualifiés par la Comission des Concours qualificatifs)</t>
  </si>
  <si>
    <t>1 partie à 2 pts + 1 partie à 1 pt + Off.</t>
  </si>
  <si>
    <t>3 parties à 1 pt .</t>
  </si>
  <si>
    <t>Off.</t>
  </si>
  <si>
    <t xml:space="preserve">1 partie à 2 pts </t>
  </si>
  <si>
    <t xml:space="preserve">1 parties à 1 pt </t>
  </si>
  <si>
    <t xml:space="preserve">3 parties à 2 pts </t>
  </si>
  <si>
    <t>7 ou 8</t>
  </si>
  <si>
    <t xml:space="preserve">7 ou 8 </t>
  </si>
  <si>
    <t xml:space="preserve">5 ou 6 </t>
  </si>
  <si>
    <t xml:space="preserve">3.5 ou 4 </t>
  </si>
  <si>
    <t xml:space="preserve">2.5 ou 3 </t>
  </si>
  <si>
    <t>5 ou 6</t>
  </si>
  <si>
    <t>3 ou 4</t>
  </si>
  <si>
    <t>3.5 ou 4</t>
  </si>
  <si>
    <t xml:space="preserve">2 parties à 1 pt </t>
  </si>
  <si>
    <t>2.5 ou 3</t>
  </si>
  <si>
    <t>4 ou 5</t>
  </si>
  <si>
    <t xml:space="preserve">4 parties à 2 pts </t>
  </si>
  <si>
    <t>9 ou 10</t>
  </si>
  <si>
    <t>4.5 ou 5</t>
  </si>
  <si>
    <t>3.5 ou 4.5</t>
  </si>
  <si>
    <t>5.5 ou 6</t>
  </si>
  <si>
    <t xml:space="preserve">1 partie à 2 pts + 2 partie à 1 pt </t>
  </si>
  <si>
    <t xml:space="preserve">3 parties à 1 pt </t>
  </si>
  <si>
    <t>5.5 à 6</t>
  </si>
  <si>
    <t>5.5. ou 6</t>
  </si>
  <si>
    <t>1 partie à 2 pt  + 1 partie à 1 pt</t>
  </si>
  <si>
    <t>1/2 Finaliste Off.</t>
  </si>
  <si>
    <t>1/2 Finaliste C2 Off.</t>
  </si>
  <si>
    <t>2,5 ou 3</t>
  </si>
  <si>
    <t>1/2 Finaliste C3 Off.</t>
  </si>
  <si>
    <t>Perdu 2 parties Off.</t>
  </si>
  <si>
    <t>2 parties à 2 pts + Off</t>
  </si>
  <si>
    <t>3 parties à 2 pts + Off</t>
  </si>
  <si>
    <t>22 équipes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</si>
</sst>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  <font>
      <sz val="14"/>
      <color rgb="FFFF0000"/>
      <name val="Times New Roman"/>
      <family val="1"/>
    </font>
    <font>
      <sz val="14"/>
      <color rgb="FF00B0F0"/>
      <name val="Times New Roman"/>
      <family val="1"/>
    </font>
    <font>
      <sz val="12"/>
      <color theme="1"/>
      <name val="Calibri"/>
      <family val="2"/>
      <scheme val="minor"/>
    </font>
    <font>
      <b/>
      <i/>
      <sz val="14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70C0"/>
      <name val="Times New Roman"/>
      <family val="1"/>
    </font>
    <font>
      <u/>
      <sz val="12"/>
      <color rgb="FF000000"/>
      <name val="Times New Roman"/>
      <family val="1"/>
    </font>
    <font>
      <u/>
      <sz val="11"/>
      <color rgb="FF000000"/>
      <name val="Times New Roman"/>
      <family val="1"/>
    </font>
    <font>
      <sz val="16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u/>
      <sz val="14"/>
      <color rgb="FF00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Times New Roman"/>
      <family val="1"/>
    </font>
    <font>
      <sz val="14"/>
      <color theme="0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4"/>
      <name val="Times New Roman"/>
      <family val="1"/>
    </font>
    <font>
      <sz val="1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EDFB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5" borderId="13" xfId="0" applyFont="1" applyFill="1" applyBorder="1"/>
    <xf numFmtId="0" fontId="1" fillId="5" borderId="26" xfId="0" applyFont="1" applyFill="1" applyBorder="1"/>
    <xf numFmtId="0" fontId="10" fillId="0" borderId="0" xfId="0" applyFont="1"/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NumberFormat="1" applyFont="1" applyAlignment="1">
      <alignment horizontal="left" vertical="center"/>
    </xf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10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NumberFormat="1" applyFont="1"/>
    <xf numFmtId="0" fontId="1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Fill="1"/>
    <xf numFmtId="0" fontId="3" fillId="0" borderId="37" xfId="0" applyFont="1" applyFill="1" applyBorder="1" applyAlignment="1">
      <alignment horizontal="left"/>
    </xf>
    <xf numFmtId="0" fontId="23" fillId="0" borderId="0" xfId="0" applyFont="1" applyBorder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6" borderId="4" xfId="0" applyFont="1" applyFill="1" applyBorder="1" applyAlignment="1" applyProtection="1">
      <alignment horizontal="center" vertical="center"/>
      <protection locked="0"/>
    </xf>
    <xf numFmtId="0" fontId="23" fillId="3" borderId="31" xfId="0" quotePrefix="1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6" borderId="10" xfId="0" applyFont="1" applyFill="1" applyBorder="1" applyAlignment="1" applyProtection="1">
      <alignment horizontal="center" vertical="center"/>
      <protection locked="0"/>
    </xf>
    <xf numFmtId="0" fontId="23" fillId="3" borderId="32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23" fillId="6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3" borderId="30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/>
    </xf>
    <xf numFmtId="0" fontId="3" fillId="2" borderId="3" xfId="0" quotePrefix="1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4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/>
    </xf>
    <xf numFmtId="0" fontId="23" fillId="0" borderId="2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11" xfId="0" quotePrefix="1" applyFont="1" applyFill="1" applyBorder="1" applyAlignment="1" applyProtection="1">
      <alignment horizontal="center" vertical="center"/>
    </xf>
    <xf numFmtId="0" fontId="3" fillId="0" borderId="37" xfId="0" quotePrefix="1" applyFont="1" applyFill="1" applyBorder="1" applyAlignment="1" applyProtection="1">
      <alignment horizontal="center" vertical="center"/>
    </xf>
    <xf numFmtId="0" fontId="3" fillId="0" borderId="40" xfId="0" quotePrefix="1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7" xfId="0" quotePrefix="1" applyFont="1" applyFill="1" applyBorder="1" applyAlignment="1" applyProtection="1">
      <alignment horizontal="center" vertical="center"/>
    </xf>
    <xf numFmtId="0" fontId="23" fillId="0" borderId="30" xfId="0" applyFont="1" applyFill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53" xfId="0" applyFont="1" applyBorder="1" applyProtection="1">
      <protection locked="0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3" fillId="9" borderId="30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/>
      <protection locked="0"/>
    </xf>
    <xf numFmtId="0" fontId="3" fillId="6" borderId="30" xfId="0" applyFont="1" applyFill="1" applyBorder="1" applyAlignment="1" applyProtection="1">
      <alignment horizontal="center" vertical="center"/>
      <protection locked="0"/>
    </xf>
    <xf numFmtId="0" fontId="3" fillId="6" borderId="43" xfId="0" applyFont="1" applyFill="1" applyBorder="1" applyAlignment="1" applyProtection="1">
      <alignment horizontal="center" vertical="center"/>
      <protection locked="0"/>
    </xf>
    <xf numFmtId="0" fontId="3" fillId="6" borderId="55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3" fillId="0" borderId="38" xfId="0" quotePrefix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3" fillId="0" borderId="49" xfId="0" applyFont="1" applyFill="1" applyBorder="1" applyAlignment="1" applyProtection="1">
      <alignment horizontal="center" vertical="center"/>
    </xf>
    <xf numFmtId="0" fontId="23" fillId="0" borderId="2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center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0" fontId="23" fillId="6" borderId="1" xfId="0" applyFont="1" applyFill="1" applyBorder="1" applyAlignment="1" applyProtection="1">
      <alignment horizontal="center" vertical="center"/>
      <protection locked="0"/>
    </xf>
    <xf numFmtId="0" fontId="23" fillId="6" borderId="19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23" fillId="0" borderId="5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3" fillId="0" borderId="51" xfId="0" applyFont="1" applyFill="1" applyBorder="1" applyAlignment="1" applyProtection="1">
      <alignment horizontal="center" vertical="center"/>
    </xf>
    <xf numFmtId="0" fontId="23" fillId="0" borderId="52" xfId="0" applyFont="1" applyFill="1" applyBorder="1" applyAlignment="1" applyProtection="1">
      <alignment horizontal="center" vertical="center"/>
    </xf>
    <xf numFmtId="0" fontId="23" fillId="9" borderId="7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23" fillId="9" borderId="6" xfId="0" applyFont="1" applyFill="1" applyBorder="1" applyAlignment="1" applyProtection="1">
      <alignment horizontal="center" vertical="center"/>
    </xf>
    <xf numFmtId="0" fontId="3" fillId="5" borderId="45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Fill="1" applyBorder="1" applyAlignment="1" applyProtection="1">
      <alignment horizontal="center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3" fillId="5" borderId="27" xfId="0" applyFont="1" applyFill="1" applyBorder="1" applyAlignment="1" applyProtection="1">
      <alignment horizontal="center" vertical="center"/>
    </xf>
    <xf numFmtId="0" fontId="3" fillId="5" borderId="61" xfId="0" quotePrefix="1" applyFont="1" applyFill="1" applyBorder="1" applyAlignment="1" applyProtection="1">
      <alignment horizontal="center" vertical="center"/>
    </xf>
    <xf numFmtId="0" fontId="3" fillId="2" borderId="6" xfId="0" quotePrefix="1" applyNumberFormat="1" applyFont="1" applyFill="1" applyBorder="1" applyAlignment="1" applyProtection="1">
      <alignment horizontal="center" vertical="center"/>
    </xf>
    <xf numFmtId="0" fontId="3" fillId="7" borderId="3" xfId="0" quotePrefix="1" applyNumberFormat="1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3" borderId="43" xfId="0" applyFont="1" applyFill="1" applyBorder="1" applyAlignment="1" applyProtection="1">
      <alignment horizontal="center" vertical="center"/>
      <protection locked="0"/>
    </xf>
    <xf numFmtId="0" fontId="3" fillId="7" borderId="30" xfId="0" applyFont="1" applyFill="1" applyBorder="1" applyAlignment="1" applyProtection="1">
      <alignment horizontal="center" vertical="center"/>
      <protection locked="0"/>
    </xf>
    <xf numFmtId="0" fontId="3" fillId="5" borderId="6" xfId="0" quotePrefix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23" fillId="0" borderId="47" xfId="0" applyFont="1" applyFill="1" applyBorder="1" applyAlignment="1" applyProtection="1">
      <alignment horizontal="center" vertical="center"/>
    </xf>
    <xf numFmtId="0" fontId="23" fillId="0" borderId="58" xfId="0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</xf>
    <xf numFmtId="0" fontId="23" fillId="0" borderId="63" xfId="0" applyFont="1" applyFill="1" applyBorder="1" applyAlignment="1" applyProtection="1">
      <alignment horizontal="center" vertical="center"/>
    </xf>
    <xf numFmtId="0" fontId="3" fillId="5" borderId="31" xfId="0" applyFon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0" borderId="6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3" fillId="5" borderId="60" xfId="0" quotePrefix="1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0" borderId="4" xfId="0" quotePrefix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1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2" fillId="0" borderId="0" xfId="0" quotePrefix="1" applyFont="1" applyAlignment="1" applyProtection="1">
      <alignment horizontal="center" vertical="center"/>
      <protection locked="0"/>
    </xf>
    <xf numFmtId="0" fontId="23" fillId="3" borderId="30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23" fillId="0" borderId="49" xfId="0" quotePrefix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2" fillId="0" borderId="0" xfId="0" applyNumberFormat="1" applyFont="1"/>
    <xf numFmtId="0" fontId="5" fillId="0" borderId="0" xfId="0" applyFont="1"/>
    <xf numFmtId="0" fontId="5" fillId="0" borderId="14" xfId="0" applyFont="1" applyBorder="1"/>
    <xf numFmtId="0" fontId="23" fillId="0" borderId="53" xfId="0" applyFont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3" fillId="0" borderId="65" xfId="0" applyFont="1" applyFill="1" applyBorder="1" applyAlignment="1" applyProtection="1">
      <alignment horizontal="center" vertical="center"/>
      <protection locked="0"/>
    </xf>
    <xf numFmtId="0" fontId="3" fillId="0" borderId="27" xfId="0" quotePrefix="1" applyFont="1" applyFill="1" applyBorder="1" applyAlignment="1" applyProtection="1">
      <alignment horizontal="center" vertical="center"/>
    </xf>
    <xf numFmtId="0" fontId="3" fillId="0" borderId="24" xfId="0" quotePrefix="1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3" fillId="0" borderId="17" xfId="0" quotePrefix="1" applyFont="1" applyFill="1" applyBorder="1" applyAlignment="1" applyProtection="1">
      <alignment horizontal="center" vertic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23" fillId="0" borderId="53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66" xfId="0" applyFont="1" applyFill="1" applyBorder="1" applyAlignment="1" applyProtection="1">
      <alignment horizontal="center" vertical="center"/>
      <protection locked="0"/>
    </xf>
    <xf numFmtId="0" fontId="3" fillId="0" borderId="67" xfId="0" applyFont="1" applyFill="1" applyBorder="1" applyAlignment="1" applyProtection="1">
      <alignment horizontal="center" vertical="center"/>
      <protection locked="0"/>
    </xf>
    <xf numFmtId="0" fontId="3" fillId="0" borderId="49" xfId="0" quotePrefix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48" xfId="0" quotePrefix="1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29" xfId="0" quotePrefix="1" applyFont="1" applyFill="1" applyBorder="1" applyAlignment="1" applyProtection="1">
      <alignment horizontal="center" vertical="center"/>
    </xf>
    <xf numFmtId="0" fontId="3" fillId="0" borderId="61" xfId="0" quotePrefix="1" applyFont="1" applyFill="1" applyBorder="1" applyAlignment="1" applyProtection="1">
      <alignment horizontal="center" vertical="center"/>
    </xf>
    <xf numFmtId="0" fontId="3" fillId="0" borderId="28" xfId="0" quotePrefix="1" applyFont="1" applyFill="1" applyBorder="1" applyAlignment="1" applyProtection="1">
      <alignment horizontal="center" vertical="center"/>
    </xf>
    <xf numFmtId="0" fontId="1" fillId="0" borderId="27" xfId="0" quotePrefix="1" applyFont="1" applyBorder="1" applyAlignment="1" applyProtection="1">
      <alignment horizontal="center" vertical="center"/>
    </xf>
    <xf numFmtId="0" fontId="1" fillId="0" borderId="15" xfId="0" quotePrefix="1" applyFont="1" applyBorder="1" applyAlignment="1" applyProtection="1">
      <alignment horizontal="center" vertical="center"/>
    </xf>
    <xf numFmtId="0" fontId="1" fillId="0" borderId="28" xfId="0" quotePrefix="1" applyFont="1" applyBorder="1" applyAlignment="1" applyProtection="1">
      <alignment horizontal="center" vertical="center"/>
    </xf>
    <xf numFmtId="0" fontId="3" fillId="7" borderId="32" xfId="0" quotePrefix="1" applyFont="1" applyFill="1" applyBorder="1" applyAlignment="1" applyProtection="1">
      <alignment horizontal="center" vertical="center"/>
    </xf>
    <xf numFmtId="0" fontId="3" fillId="0" borderId="51" xfId="0" quotePrefix="1" applyFont="1" applyFill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3" fillId="7" borderId="43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1" fillId="0" borderId="17" xfId="0" quotePrefix="1" applyFont="1" applyBorder="1" applyAlignment="1" applyProtection="1">
      <alignment horizontal="center" vertical="center"/>
    </xf>
    <xf numFmtId="0" fontId="1" fillId="0" borderId="31" xfId="0" quotePrefix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3" fillId="8" borderId="32" xfId="0" quotePrefix="1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1" fillId="0" borderId="46" xfId="0" quotePrefix="1" applyFont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50" xfId="0" quotePrefix="1" applyFont="1" applyFill="1" applyBorder="1" applyAlignment="1" applyProtection="1">
      <alignment horizontal="center" vertical="center"/>
    </xf>
    <xf numFmtId="0" fontId="1" fillId="0" borderId="44" xfId="0" quotePrefix="1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7" xfId="0" quotePrefix="1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0" fontId="4" fillId="0" borderId="34" xfId="0" applyFont="1" applyFill="1" applyBorder="1" applyAlignment="1" applyProtection="1">
      <alignment vertical="center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0" fillId="0" borderId="53" xfId="0" applyBorder="1"/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</xf>
    <xf numFmtId="0" fontId="1" fillId="0" borderId="31" xfId="0" quotePrefix="1" applyFont="1" applyBorder="1" applyAlignment="1" applyProtection="1">
      <alignment horizontal="center" vertical="center"/>
    </xf>
    <xf numFmtId="0" fontId="1" fillId="0" borderId="32" xfId="0" quotePrefix="1" applyFont="1" applyBorder="1" applyAlignment="1" applyProtection="1">
      <alignment horizontal="center" vertical="center"/>
    </xf>
    <xf numFmtId="0" fontId="1" fillId="0" borderId="30" xfId="0" quotePrefix="1" applyFont="1" applyBorder="1" applyAlignment="1" applyProtection="1">
      <alignment horizontal="center" vertical="center"/>
    </xf>
    <xf numFmtId="0" fontId="23" fillId="0" borderId="53" xfId="0" applyFont="1" applyBorder="1" applyAlignment="1" applyProtection="1">
      <alignment horizontal="center" vertical="center"/>
      <protection locked="0"/>
    </xf>
    <xf numFmtId="0" fontId="3" fillId="0" borderId="15" xfId="0" quotePrefix="1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1" fillId="0" borderId="37" xfId="0" quotePrefix="1" applyFont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3" fillId="9" borderId="50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5" xfId="0" applyFont="1" applyFill="1" applyBorder="1" applyAlignment="1" applyProtection="1">
      <alignment horizontal="center" vertical="center"/>
      <protection locked="0"/>
    </xf>
    <xf numFmtId="0" fontId="1" fillId="0" borderId="43" xfId="0" quotePrefix="1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45" xfId="0" quotePrefix="1" applyFont="1" applyBorder="1" applyAlignment="1" applyProtection="1">
      <alignment horizontal="center" vertical="center"/>
    </xf>
    <xf numFmtId="0" fontId="1" fillId="0" borderId="57" xfId="0" quotePrefix="1" applyFont="1" applyBorder="1" applyAlignment="1" applyProtection="1">
      <alignment horizontal="center" vertical="center"/>
    </xf>
    <xf numFmtId="0" fontId="1" fillId="9" borderId="40" xfId="0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 applyProtection="1">
      <alignment horizontal="center" vertical="center"/>
    </xf>
    <xf numFmtId="0" fontId="4" fillId="9" borderId="10" xfId="0" quotePrefix="1" applyFont="1" applyFill="1" applyBorder="1" applyAlignment="1" applyProtection="1">
      <alignment horizontal="center" vertical="center"/>
    </xf>
    <xf numFmtId="0" fontId="3" fillId="9" borderId="5" xfId="0" quotePrefix="1" applyFont="1" applyFill="1" applyBorder="1" applyAlignment="1" applyProtection="1">
      <alignment horizontal="center" vertical="center"/>
    </xf>
    <xf numFmtId="0" fontId="3" fillId="9" borderId="6" xfId="0" quotePrefix="1" applyFont="1" applyFill="1" applyBorder="1" applyAlignment="1" applyProtection="1">
      <alignment horizontal="center" vertical="center"/>
    </xf>
    <xf numFmtId="0" fontId="1" fillId="9" borderId="44" xfId="0" quotePrefix="1" applyFont="1" applyFill="1" applyBorder="1" applyAlignment="1" applyProtection="1">
      <alignment horizontal="center" vertical="center"/>
    </xf>
    <xf numFmtId="0" fontId="23" fillId="0" borderId="53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6" xfId="0" quotePrefix="1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 applyProtection="1">
      <alignment horizontal="center" vertical="center"/>
    </xf>
    <xf numFmtId="0" fontId="3" fillId="5" borderId="27" xfId="0" quotePrefix="1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3" fillId="5" borderId="28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  <protection locked="0"/>
    </xf>
    <xf numFmtId="0" fontId="3" fillId="0" borderId="31" xfId="0" quotePrefix="1" applyFont="1" applyBorder="1" applyAlignment="1" applyProtection="1">
      <alignment horizontal="center" vertical="center"/>
    </xf>
    <xf numFmtId="0" fontId="3" fillId="0" borderId="32" xfId="0" quotePrefix="1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70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58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9" borderId="50" xfId="0" quotePrefix="1" applyFont="1" applyFill="1" applyBorder="1" applyAlignment="1" applyProtection="1">
      <alignment horizontal="center" vertical="center"/>
    </xf>
    <xf numFmtId="0" fontId="3" fillId="9" borderId="7" xfId="0" quotePrefix="1" applyFont="1" applyFill="1" applyBorder="1" applyAlignment="1" applyProtection="1">
      <alignment horizontal="center" vertical="center"/>
    </xf>
    <xf numFmtId="0" fontId="3" fillId="9" borderId="44" xfId="0" quotePrefix="1" applyFont="1" applyFill="1" applyBorder="1" applyAlignment="1" applyProtection="1">
      <alignment horizontal="center" vertical="center"/>
    </xf>
    <xf numFmtId="0" fontId="1" fillId="9" borderId="38" xfId="0" applyFont="1" applyFill="1" applyBorder="1" applyAlignment="1" applyProtection="1">
      <alignment horizontal="center" vertical="center"/>
    </xf>
    <xf numFmtId="0" fontId="4" fillId="9" borderId="30" xfId="0" quotePrefix="1" applyFont="1" applyFill="1" applyBorder="1" applyAlignment="1" applyProtection="1">
      <alignment horizontal="center" vertical="center"/>
    </xf>
    <xf numFmtId="0" fontId="3" fillId="9" borderId="30" xfId="0" quotePrefix="1" applyFont="1" applyFill="1" applyBorder="1" applyAlignment="1" applyProtection="1">
      <alignment horizontal="center" vertical="center"/>
    </xf>
    <xf numFmtId="0" fontId="1" fillId="9" borderId="28" xfId="0" quotePrefix="1" applyFont="1" applyFill="1" applyBorder="1" applyAlignment="1" applyProtection="1">
      <alignment horizontal="center" vertical="center"/>
    </xf>
    <xf numFmtId="0" fontId="3" fillId="9" borderId="28" xfId="0" quotePrefix="1" applyFont="1" applyFill="1" applyBorder="1" applyAlignment="1" applyProtection="1">
      <alignment horizontal="center" vertical="center"/>
    </xf>
    <xf numFmtId="0" fontId="1" fillId="9" borderId="30" xfId="0" quotePrefix="1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 applyProtection="1">
      <alignment horizontal="center" vertical="center"/>
    </xf>
    <xf numFmtId="0" fontId="4" fillId="9" borderId="7" xfId="0" quotePrefix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11" borderId="0" xfId="0" applyFont="1" applyFill="1" applyAlignment="1" applyProtection="1">
      <alignment horizontal="center" vertical="center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0" fontId="8" fillId="0" borderId="28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3" fillId="0" borderId="31" xfId="0" quotePrefix="1" applyFont="1" applyFill="1" applyBorder="1" applyAlignment="1" applyProtection="1">
      <alignment horizontal="center" vertical="center"/>
    </xf>
    <xf numFmtId="0" fontId="3" fillId="0" borderId="32" xfId="0" quotePrefix="1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58" xfId="0" quotePrefix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quotePrefix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1" xfId="0" quotePrefix="1" applyFont="1" applyFill="1" applyBorder="1" applyAlignment="1" applyProtection="1">
      <alignment horizontal="center" vertical="center"/>
    </xf>
    <xf numFmtId="0" fontId="4" fillId="0" borderId="32" xfId="0" quotePrefix="1" applyFont="1" applyFill="1" applyBorder="1" applyAlignment="1" applyProtection="1">
      <alignment horizontal="center" vertical="center"/>
    </xf>
    <xf numFmtId="0" fontId="4" fillId="0" borderId="27" xfId="0" quotePrefix="1" applyFont="1" applyFill="1" applyBorder="1" applyAlignment="1" applyProtection="1">
      <alignment horizontal="center" vertical="center"/>
    </xf>
    <xf numFmtId="0" fontId="4" fillId="0" borderId="15" xfId="0" quotePrefix="1" applyFont="1" applyFill="1" applyBorder="1" applyAlignment="1" applyProtection="1">
      <alignment horizontal="center" vertical="center"/>
    </xf>
    <xf numFmtId="0" fontId="4" fillId="0" borderId="28" xfId="0" quotePrefix="1" applyFont="1" applyFill="1" applyBorder="1" applyAlignment="1" applyProtection="1">
      <alignment horizontal="center" vertical="center"/>
    </xf>
    <xf numFmtId="0" fontId="4" fillId="0" borderId="30" xfId="0" quotePrefix="1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70" xfId="0" applyFont="1" applyFill="1" applyBorder="1" applyAlignment="1" applyProtection="1">
      <alignment horizontal="center" vertical="center"/>
      <protection locked="0"/>
    </xf>
    <xf numFmtId="0" fontId="3" fillId="0" borderId="39" xfId="0" quotePrefix="1" applyFont="1" applyFill="1" applyBorder="1" applyAlignment="1" applyProtection="1">
      <alignment horizontal="center" vertical="center"/>
    </xf>
    <xf numFmtId="0" fontId="3" fillId="9" borderId="38" xfId="0" quotePrefix="1" applyFont="1" applyFill="1" applyBorder="1" applyAlignment="1" applyProtection="1">
      <alignment horizontal="center" vertical="center"/>
    </xf>
    <xf numFmtId="0" fontId="3" fillId="0" borderId="43" xfId="0" quotePrefix="1" applyFont="1" applyFill="1" applyBorder="1" applyAlignment="1" applyProtection="1">
      <alignment horizontal="center" vertical="center"/>
    </xf>
    <xf numFmtId="0" fontId="3" fillId="0" borderId="30" xfId="0" quotePrefix="1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9" borderId="30" xfId="0" applyFont="1" applyFill="1" applyBorder="1" applyAlignment="1" applyProtection="1">
      <alignment horizontal="center" vertical="center"/>
    </xf>
    <xf numFmtId="0" fontId="4" fillId="0" borderId="46" xfId="0" quotePrefix="1" applyFont="1" applyFill="1" applyBorder="1" applyAlignment="1" applyProtection="1">
      <alignment horizontal="center" vertical="center"/>
    </xf>
    <xf numFmtId="0" fontId="4" fillId="0" borderId="57" xfId="0" quotePrefix="1" applyFont="1" applyFill="1" applyBorder="1" applyAlignment="1" applyProtection="1">
      <alignment horizontal="center" vertical="center"/>
    </xf>
    <xf numFmtId="0" fontId="4" fillId="0" borderId="44" xfId="0" quotePrefix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9" borderId="44" xfId="0" quotePrefix="1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23" fillId="12" borderId="49" xfId="0" applyFont="1" applyFill="1" applyBorder="1" applyAlignment="1" applyProtection="1">
      <alignment horizontal="center" vertical="center"/>
    </xf>
    <xf numFmtId="0" fontId="23" fillId="12" borderId="50" xfId="0" applyFont="1" applyFill="1" applyBorder="1" applyAlignment="1" applyProtection="1">
      <alignment horizontal="center" vertical="center"/>
    </xf>
    <xf numFmtId="0" fontId="23" fillId="12" borderId="31" xfId="0" applyFont="1" applyFill="1" applyBorder="1" applyAlignment="1" applyProtection="1">
      <alignment horizontal="center" vertical="center"/>
    </xf>
    <xf numFmtId="0" fontId="23" fillId="12" borderId="30" xfId="0" applyFont="1" applyFill="1" applyBorder="1" applyAlignment="1" applyProtection="1">
      <alignment horizontal="center" vertical="center"/>
    </xf>
    <xf numFmtId="0" fontId="23" fillId="12" borderId="49" xfId="0" applyFont="1" applyFill="1" applyBorder="1" applyAlignment="1" applyProtection="1">
      <alignment horizontal="center"/>
    </xf>
    <xf numFmtId="0" fontId="23" fillId="12" borderId="50" xfId="0" applyFont="1" applyFill="1" applyBorder="1" applyAlignment="1" applyProtection="1">
      <alignment horizontal="center"/>
    </xf>
    <xf numFmtId="0" fontId="23" fillId="12" borderId="49" xfId="0" applyFont="1" applyFill="1" applyBorder="1" applyAlignment="1" applyProtection="1">
      <alignment horizontal="center" vertical="center"/>
      <protection locked="0"/>
    </xf>
    <xf numFmtId="0" fontId="23" fillId="12" borderId="50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10" borderId="3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10" borderId="9" xfId="0" applyFont="1" applyFill="1" applyBorder="1" applyAlignment="1" applyProtection="1">
      <alignment horizontal="center" vertical="center"/>
      <protection locked="0"/>
    </xf>
    <xf numFmtId="0" fontId="3" fillId="10" borderId="56" xfId="0" applyFont="1" applyFill="1" applyBorder="1" applyAlignment="1" applyProtection="1">
      <alignment horizontal="center" vertical="center"/>
      <protection locked="0"/>
    </xf>
    <xf numFmtId="0" fontId="3" fillId="10" borderId="12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14" borderId="30" xfId="0" applyFont="1" applyFill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</xf>
    <xf numFmtId="0" fontId="1" fillId="0" borderId="43" xfId="0" quotePrefix="1" applyFont="1" applyFill="1" applyBorder="1" applyAlignment="1" applyProtection="1">
      <alignment horizontal="center" vertical="center"/>
    </xf>
    <xf numFmtId="0" fontId="1" fillId="0" borderId="32" xfId="0" quotePrefix="1" applyFont="1" applyFill="1" applyBorder="1" applyAlignment="1" applyProtection="1">
      <alignment horizontal="center" vertical="center"/>
    </xf>
    <xf numFmtId="0" fontId="1" fillId="0" borderId="30" xfId="0" quotePrefix="1" applyFont="1" applyFill="1" applyBorder="1" applyAlignment="1" applyProtection="1">
      <alignment horizontal="center" vertical="center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43" xfId="0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3" fillId="1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9" borderId="0" xfId="0" quotePrefix="1" applyFont="1" applyFill="1" applyBorder="1" applyAlignment="1" applyProtection="1">
      <alignment horizontal="center" vertical="center"/>
    </xf>
    <xf numFmtId="0" fontId="8" fillId="0" borderId="30" xfId="0" quotePrefix="1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quotePrefix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13" borderId="2" xfId="0" applyFont="1" applyFill="1" applyBorder="1" applyAlignment="1" applyProtection="1">
      <alignment horizontal="center" vertical="center"/>
      <protection locked="0"/>
    </xf>
    <xf numFmtId="0" fontId="3" fillId="13" borderId="31" xfId="0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0" fontId="3" fillId="13" borderId="30" xfId="0" applyFont="1" applyFill="1" applyBorder="1" applyAlignment="1" applyProtection="1">
      <alignment horizontal="center" vertical="center"/>
      <protection locked="0"/>
    </xf>
    <xf numFmtId="0" fontId="3" fillId="13" borderId="20" xfId="0" applyFont="1" applyFill="1" applyBorder="1" applyAlignment="1" applyProtection="1">
      <alignment horizontal="center" vertical="center"/>
      <protection locked="0"/>
    </xf>
    <xf numFmtId="0" fontId="3" fillId="0" borderId="54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9" xfId="0" quotePrefix="1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6" xfId="0" quotePrefix="1" applyNumberFormat="1" applyFont="1" applyFill="1" applyBorder="1" applyAlignment="1" applyProtection="1">
      <alignment horizontal="center" vertical="center"/>
    </xf>
    <xf numFmtId="0" fontId="3" fillId="0" borderId="11" xfId="0" quotePrefix="1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3" fillId="13" borderId="24" xfId="0" applyFont="1" applyFill="1" applyBorder="1" applyAlignment="1" applyProtection="1">
      <alignment horizontal="center" vertical="center"/>
      <protection locked="0"/>
    </xf>
    <xf numFmtId="0" fontId="1" fillId="0" borderId="57" xfId="0" quotePrefix="1" applyFont="1" applyFill="1" applyBorder="1" applyAlignment="1" applyProtection="1">
      <alignment horizontal="center" vertical="center"/>
    </xf>
    <xf numFmtId="0" fontId="3" fillId="14" borderId="38" xfId="0" quotePrefix="1" applyFont="1" applyFill="1" applyBorder="1" applyAlignment="1" applyProtection="1">
      <alignment horizontal="center" vertical="center"/>
    </xf>
    <xf numFmtId="0" fontId="3" fillId="14" borderId="6" xfId="0" quotePrefix="1" applyFont="1" applyFill="1" applyBorder="1" applyAlignment="1" applyProtection="1">
      <alignment horizontal="center" vertical="center"/>
    </xf>
    <xf numFmtId="0" fontId="1" fillId="14" borderId="44" xfId="0" quotePrefix="1" applyFont="1" applyFill="1" applyBorder="1" applyAlignment="1" applyProtection="1">
      <alignment horizontal="center" vertical="center"/>
    </xf>
    <xf numFmtId="0" fontId="1" fillId="0" borderId="45" xfId="0" quotePrefix="1" applyFont="1" applyFill="1" applyBorder="1" applyAlignment="1" applyProtection="1">
      <alignment horizontal="center" vertical="center"/>
    </xf>
    <xf numFmtId="0" fontId="3" fillId="0" borderId="18" xfId="0" quotePrefix="1" applyNumberFormat="1" applyFont="1" applyFill="1" applyBorder="1" applyAlignment="1" applyProtection="1">
      <alignment horizontal="center" vertical="center"/>
    </xf>
    <xf numFmtId="0" fontId="3" fillId="10" borderId="45" xfId="0" applyFont="1" applyFill="1" applyBorder="1" applyAlignment="1" applyProtection="1">
      <alignment horizontal="center" vertical="center"/>
      <protection locked="0"/>
    </xf>
    <xf numFmtId="0" fontId="3" fillId="10" borderId="57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3" fillId="13" borderId="8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9" xfId="0" applyNumberFormat="1" applyFont="1" applyFill="1" applyBorder="1" applyAlignment="1" applyProtection="1">
      <alignment horizontal="center" vertical="center"/>
      <protection locked="0"/>
    </xf>
    <xf numFmtId="0" fontId="23" fillId="13" borderId="29" xfId="0" applyNumberFormat="1" applyFont="1" applyFill="1" applyBorder="1" applyAlignment="1" applyProtection="1">
      <alignment horizontal="center" vertical="center"/>
      <protection locked="0"/>
    </xf>
    <xf numFmtId="0" fontId="3" fillId="13" borderId="45" xfId="0" applyFont="1" applyFill="1" applyBorder="1" applyAlignment="1" applyProtection="1">
      <alignment horizontal="center" vertical="center"/>
      <protection locked="0"/>
    </xf>
    <xf numFmtId="0" fontId="3" fillId="13" borderId="46" xfId="0" applyFont="1" applyFill="1" applyBorder="1" applyAlignment="1" applyProtection="1">
      <alignment horizontal="center" vertical="center"/>
      <protection locked="0"/>
    </xf>
    <xf numFmtId="0" fontId="3" fillId="13" borderId="57" xfId="0" applyFont="1" applyFill="1" applyBorder="1" applyAlignment="1" applyProtection="1">
      <alignment horizontal="center" vertical="center"/>
      <protection locked="0"/>
    </xf>
    <xf numFmtId="0" fontId="3" fillId="13" borderId="44" xfId="0" applyFont="1" applyFill="1" applyBorder="1" applyAlignment="1" applyProtection="1">
      <alignment horizontal="center" vertical="center"/>
      <protection locked="0"/>
    </xf>
    <xf numFmtId="0" fontId="3" fillId="0" borderId="59" xfId="0" quotePrefix="1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9" fillId="0" borderId="57" xfId="0" quotePrefix="1" applyFont="1" applyFill="1" applyBorder="1" applyAlignment="1" applyProtection="1">
      <alignment horizontal="center" vertical="center"/>
    </xf>
    <xf numFmtId="0" fontId="4" fillId="0" borderId="43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4" fillId="0" borderId="45" xfId="0" quotePrefix="1" applyFont="1" applyFill="1" applyBorder="1" applyAlignment="1" applyProtection="1">
      <alignment horizontal="center" vertical="center"/>
    </xf>
    <xf numFmtId="0" fontId="4" fillId="0" borderId="26" xfId="0" quotePrefix="1" applyFont="1" applyFill="1" applyBorder="1" applyAlignment="1" applyProtection="1">
      <alignment horizontal="center" vertical="center"/>
    </xf>
    <xf numFmtId="0" fontId="4" fillId="0" borderId="60" xfId="0" quotePrefix="1" applyFont="1" applyFill="1" applyBorder="1" applyAlignment="1" applyProtection="1">
      <alignment horizontal="center" vertical="center"/>
    </xf>
    <xf numFmtId="0" fontId="23" fillId="16" borderId="49" xfId="0" applyFont="1" applyFill="1" applyBorder="1" applyAlignment="1" applyProtection="1">
      <alignment horizontal="center" vertical="center"/>
    </xf>
    <xf numFmtId="0" fontId="23" fillId="16" borderId="50" xfId="0" applyFont="1" applyFill="1" applyBorder="1" applyAlignment="1" applyProtection="1">
      <alignment horizontal="center" vertical="center"/>
    </xf>
    <xf numFmtId="0" fontId="3" fillId="16" borderId="2" xfId="0" applyFont="1" applyFill="1" applyBorder="1" applyAlignment="1" applyProtection="1">
      <alignment horizontal="center" vertical="center"/>
      <protection locked="0"/>
    </xf>
    <xf numFmtId="0" fontId="3" fillId="16" borderId="5" xfId="0" applyFont="1" applyFill="1" applyBorder="1" applyAlignment="1" applyProtection="1">
      <alignment horizontal="center" vertical="center"/>
      <protection locked="0"/>
    </xf>
    <xf numFmtId="0" fontId="3" fillId="16" borderId="20" xfId="0" applyFont="1" applyFill="1" applyBorder="1" applyAlignment="1" applyProtection="1">
      <alignment horizontal="center" vertical="center"/>
      <protection locked="0"/>
    </xf>
    <xf numFmtId="0" fontId="3" fillId="16" borderId="31" xfId="0" applyFont="1" applyFill="1" applyBorder="1" applyAlignment="1" applyProtection="1">
      <alignment horizontal="center" vertical="center"/>
      <protection locked="0"/>
    </xf>
    <xf numFmtId="0" fontId="3" fillId="16" borderId="30" xfId="0" applyFont="1" applyFill="1" applyBorder="1" applyAlignment="1" applyProtection="1">
      <alignment horizontal="center" vertical="center"/>
      <protection locked="0"/>
    </xf>
    <xf numFmtId="0" fontId="3" fillId="16" borderId="24" xfId="0" applyFont="1" applyFill="1" applyBorder="1" applyAlignment="1" applyProtection="1">
      <alignment horizontal="center" vertical="center"/>
      <protection locked="0"/>
    </xf>
    <xf numFmtId="0" fontId="3" fillId="16" borderId="4" xfId="0" applyFont="1" applyFill="1" applyBorder="1" applyAlignment="1" applyProtection="1">
      <alignment horizontal="center" vertical="center"/>
      <protection locked="0"/>
    </xf>
    <xf numFmtId="0" fontId="3" fillId="16" borderId="7" xfId="0" applyFont="1" applyFill="1" applyBorder="1" applyAlignment="1" applyProtection="1">
      <alignment horizontal="center" vertical="center"/>
      <protection locked="0"/>
    </xf>
    <xf numFmtId="0" fontId="3" fillId="16" borderId="25" xfId="0" applyFont="1" applyFill="1" applyBorder="1" applyAlignment="1" applyProtection="1">
      <alignment horizontal="center" vertical="center"/>
      <protection locked="0"/>
    </xf>
    <xf numFmtId="0" fontId="3" fillId="16" borderId="21" xfId="0" applyFont="1" applyFill="1" applyBorder="1" applyAlignment="1" applyProtection="1">
      <alignment horizontal="center" vertical="center"/>
      <protection locked="0"/>
    </xf>
    <xf numFmtId="0" fontId="3" fillId="16" borderId="9" xfId="0" applyFont="1" applyFill="1" applyBorder="1" applyAlignment="1" applyProtection="1">
      <alignment horizontal="center" vertical="center"/>
      <protection locked="0"/>
    </xf>
    <xf numFmtId="0" fontId="3" fillId="16" borderId="45" xfId="0" applyFont="1" applyFill="1" applyBorder="1" applyAlignment="1" applyProtection="1">
      <alignment horizontal="center" vertical="center"/>
      <protection locked="0"/>
    </xf>
    <xf numFmtId="0" fontId="3" fillId="16" borderId="57" xfId="0" applyFont="1" applyFill="1" applyBorder="1" applyAlignment="1" applyProtection="1">
      <alignment horizontal="center" vertical="center"/>
      <protection locked="0"/>
    </xf>
    <xf numFmtId="0" fontId="3" fillId="16" borderId="44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0" fontId="3" fillId="15" borderId="9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3" fillId="15" borderId="31" xfId="0" applyFont="1" applyFill="1" applyBorder="1" applyAlignment="1" applyProtection="1">
      <alignment horizontal="center" vertical="center"/>
      <protection locked="0"/>
    </xf>
    <xf numFmtId="0" fontId="3" fillId="15" borderId="30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18" xfId="0" applyNumberFormat="1" applyFont="1" applyFill="1" applyBorder="1" applyAlignment="1" applyProtection="1">
      <alignment horizontal="center" vertical="center"/>
    </xf>
    <xf numFmtId="0" fontId="23" fillId="0" borderId="3" xfId="0" quotePrefix="1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3" fillId="10" borderId="20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23" fillId="3" borderId="2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23" fillId="9" borderId="23" xfId="0" applyFont="1" applyFill="1" applyBorder="1" applyAlignment="1" applyProtection="1">
      <alignment horizontal="center" vertical="center"/>
      <protection locked="0"/>
    </xf>
    <xf numFmtId="0" fontId="3" fillId="16" borderId="46" xfId="0" applyFont="1" applyFill="1" applyBorder="1" applyAlignment="1" applyProtection="1">
      <alignment horizontal="center" vertical="center"/>
      <protection locked="0"/>
    </xf>
    <xf numFmtId="0" fontId="3" fillId="0" borderId="2" xfId="0" quotePrefix="1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9" xfId="0" applyNumberFormat="1" applyFont="1" applyFill="1" applyBorder="1" applyAlignment="1" applyProtection="1">
      <alignment horizontal="center" vertical="center"/>
    </xf>
    <xf numFmtId="0" fontId="3" fillId="0" borderId="56" xfId="0" applyNumberFormat="1" applyFont="1" applyFill="1" applyBorder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3" fillId="16" borderId="49" xfId="0" applyFont="1" applyFill="1" applyBorder="1" applyAlignment="1" applyProtection="1">
      <alignment horizontal="center" vertical="center"/>
      <protection locked="0"/>
    </xf>
    <xf numFmtId="0" fontId="3" fillId="16" borderId="50" xfId="0" applyFont="1" applyFill="1" applyBorder="1" applyAlignment="1" applyProtection="1">
      <alignment horizontal="center" vertical="center"/>
      <protection locked="0"/>
    </xf>
    <xf numFmtId="0" fontId="3" fillId="16" borderId="52" xfId="0" applyFont="1" applyFill="1" applyBorder="1" applyAlignment="1" applyProtection="1">
      <alignment horizontal="center" vertical="center"/>
      <protection locked="0"/>
    </xf>
    <xf numFmtId="0" fontId="3" fillId="13" borderId="49" xfId="0" applyFont="1" applyFill="1" applyBorder="1" applyAlignment="1" applyProtection="1">
      <alignment horizontal="center" vertical="center"/>
      <protection locked="0"/>
    </xf>
    <xf numFmtId="0" fontId="3" fillId="13" borderId="50" xfId="0" applyFont="1" applyFill="1" applyBorder="1" applyAlignment="1" applyProtection="1">
      <alignment horizontal="center" vertical="center"/>
      <protection locked="0"/>
    </xf>
    <xf numFmtId="0" fontId="3" fillId="13" borderId="52" xfId="0" applyFont="1" applyFill="1" applyBorder="1" applyAlignment="1" applyProtection="1">
      <alignment horizontal="center" vertical="center"/>
      <protection locked="0"/>
    </xf>
    <xf numFmtId="0" fontId="8" fillId="0" borderId="11" xfId="0" quotePrefix="1" applyNumberFormat="1" applyFont="1" applyFill="1" applyBorder="1" applyAlignment="1" applyProtection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3" fillId="0" borderId="27" xfId="0" quotePrefix="1" applyNumberFormat="1" applyFont="1" applyFill="1" applyBorder="1" applyAlignment="1" applyProtection="1">
      <alignment horizontal="center" vertical="center"/>
    </xf>
    <xf numFmtId="0" fontId="3" fillId="0" borderId="28" xfId="0" quotePrefix="1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3" fillId="0" borderId="6" xfId="0" quotePrefix="1" applyNumberFormat="1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13" borderId="56" xfId="0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0" fontId="3" fillId="13" borderId="7" xfId="0" applyFont="1" applyFill="1" applyBorder="1" applyAlignment="1" applyProtection="1">
      <alignment horizontal="center" vertical="center"/>
      <protection locked="0"/>
    </xf>
    <xf numFmtId="0" fontId="3" fillId="13" borderId="69" xfId="0" applyFont="1" applyFill="1" applyBorder="1" applyAlignment="1" applyProtection="1">
      <alignment horizontal="center" vertical="center"/>
      <protection locked="0"/>
    </xf>
    <xf numFmtId="0" fontId="3" fillId="13" borderId="21" xfId="0" applyFont="1" applyFill="1" applyBorder="1" applyAlignment="1" applyProtection="1">
      <alignment horizontal="center" vertical="center"/>
      <protection locked="0"/>
    </xf>
    <xf numFmtId="0" fontId="3" fillId="13" borderId="25" xfId="0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/>
      <protection locked="0"/>
    </xf>
    <xf numFmtId="0" fontId="3" fillId="10" borderId="21" xfId="0" applyFont="1" applyFill="1" applyBorder="1" applyAlignment="1" applyProtection="1">
      <alignment horizontal="center" vertical="center"/>
      <protection locked="0"/>
    </xf>
    <xf numFmtId="0" fontId="3" fillId="10" borderId="46" xfId="0" applyFont="1" applyFill="1" applyBorder="1" applyAlignment="1" applyProtection="1">
      <alignment horizontal="center" vertical="center"/>
      <protection locked="0"/>
    </xf>
    <xf numFmtId="0" fontId="3" fillId="13" borderId="42" xfId="0" applyFont="1" applyFill="1" applyBorder="1" applyAlignment="1" applyProtection="1">
      <alignment horizontal="center" vertical="center"/>
      <protection locked="0"/>
    </xf>
    <xf numFmtId="0" fontId="3" fillId="0" borderId="0" xfId="0" quotePrefix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3" fillId="5" borderId="0" xfId="0" applyFont="1" applyFill="1" applyAlignment="1" applyProtection="1">
      <alignment horizontal="center" vertical="center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2" fillId="0" borderId="31" xfId="0" quotePrefix="1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0" fontId="3" fillId="15" borderId="25" xfId="0" applyFont="1" applyFill="1" applyBorder="1" applyAlignment="1" applyProtection="1">
      <alignment horizontal="center" vertical="center"/>
      <protection locked="0"/>
    </xf>
    <xf numFmtId="0" fontId="3" fillId="15" borderId="21" xfId="0" applyFont="1" applyFill="1" applyBorder="1" applyAlignment="1" applyProtection="1">
      <alignment horizontal="center" vertical="center"/>
      <protection locked="0"/>
    </xf>
    <xf numFmtId="0" fontId="3" fillId="10" borderId="49" xfId="0" applyFont="1" applyFill="1" applyBorder="1" applyAlignment="1" applyProtection="1">
      <alignment horizontal="center" vertical="center"/>
    </xf>
    <xf numFmtId="0" fontId="3" fillId="10" borderId="48" xfId="0" applyFont="1" applyFill="1" applyBorder="1" applyAlignment="1" applyProtection="1">
      <alignment horizontal="center" vertical="center"/>
    </xf>
    <xf numFmtId="0" fontId="3" fillId="10" borderId="42" xfId="0" applyFont="1" applyFill="1" applyBorder="1" applyAlignment="1" applyProtection="1">
      <alignment horizontal="center" vertical="center"/>
    </xf>
    <xf numFmtId="0" fontId="3" fillId="13" borderId="8" xfId="0" applyFont="1" applyFill="1" applyBorder="1" applyAlignment="1" applyProtection="1">
      <alignment horizontal="center" vertical="center"/>
    </xf>
    <xf numFmtId="0" fontId="23" fillId="13" borderId="48" xfId="0" applyFont="1" applyFill="1" applyBorder="1" applyAlignment="1" applyProtection="1">
      <alignment horizontal="center" vertical="center"/>
    </xf>
    <xf numFmtId="0" fontId="23" fillId="13" borderId="50" xfId="0" applyNumberFormat="1" applyFont="1" applyFill="1" applyBorder="1" applyAlignment="1" applyProtection="1">
      <alignment horizontal="center" vertical="center"/>
    </xf>
    <xf numFmtId="0" fontId="23" fillId="13" borderId="22" xfId="0" applyNumberFormat="1" applyFont="1" applyFill="1" applyBorder="1" applyAlignment="1" applyProtection="1">
      <alignment horizontal="center" vertical="center"/>
    </xf>
    <xf numFmtId="0" fontId="23" fillId="13" borderId="32" xfId="0" applyNumberFormat="1" applyFont="1" applyFill="1" applyBorder="1" applyAlignment="1" applyProtection="1">
      <alignment horizontal="center" vertical="center"/>
    </xf>
    <xf numFmtId="0" fontId="3" fillId="15" borderId="49" xfId="0" applyFont="1" applyFill="1" applyBorder="1" applyAlignment="1" applyProtection="1">
      <alignment horizontal="center" vertical="center"/>
      <protection locked="0"/>
    </xf>
    <xf numFmtId="0" fontId="3" fillId="15" borderId="50" xfId="0" applyFont="1" applyFill="1" applyBorder="1" applyAlignment="1" applyProtection="1">
      <alignment horizontal="center" vertical="center"/>
      <protection locked="0"/>
    </xf>
    <xf numFmtId="0" fontId="3" fillId="10" borderId="49" xfId="0" applyFont="1" applyFill="1" applyBorder="1" applyAlignment="1" applyProtection="1">
      <alignment horizontal="center" vertical="center"/>
      <protection locked="0"/>
    </xf>
    <xf numFmtId="0" fontId="3" fillId="10" borderId="50" xfId="0" applyFont="1" applyFill="1" applyBorder="1" applyAlignment="1" applyProtection="1">
      <alignment horizontal="center" vertical="center"/>
      <protection locked="0"/>
    </xf>
    <xf numFmtId="0" fontId="1" fillId="9" borderId="15" xfId="0" applyFont="1" applyFill="1" applyBorder="1" applyAlignment="1" applyProtection="1">
      <alignment horizontal="center" vertical="center"/>
    </xf>
    <xf numFmtId="0" fontId="2" fillId="9" borderId="30" xfId="0" applyFont="1" applyFill="1" applyBorder="1" applyAlignment="1" applyProtection="1">
      <alignment horizontal="center" vertical="center"/>
    </xf>
    <xf numFmtId="0" fontId="1" fillId="9" borderId="28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3" fillId="5" borderId="43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>
      <alignment horizontal="center"/>
    </xf>
    <xf numFmtId="0" fontId="2" fillId="16" borderId="48" xfId="0" applyFont="1" applyFill="1" applyBorder="1" applyAlignment="1">
      <alignment horizontal="center" vertical="center"/>
    </xf>
    <xf numFmtId="0" fontId="2" fillId="10" borderId="48" xfId="0" applyFont="1" applyFill="1" applyBorder="1" applyAlignment="1">
      <alignment horizontal="center" vertical="center"/>
    </xf>
    <xf numFmtId="0" fontId="2" fillId="13" borderId="4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/>
    </xf>
    <xf numFmtId="0" fontId="0" fillId="9" borderId="61" xfId="0" applyFill="1" applyBorder="1"/>
    <xf numFmtId="0" fontId="1" fillId="5" borderId="23" xfId="0" applyFont="1" applyFill="1" applyBorder="1"/>
    <xf numFmtId="0" fontId="2" fillId="0" borderId="49" xfId="0" applyFon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/>
    </xf>
    <xf numFmtId="0" fontId="0" fillId="9" borderId="27" xfId="0" applyFill="1" applyBorder="1"/>
    <xf numFmtId="0" fontId="1" fillId="5" borderId="4" xfId="0" applyFont="1" applyFill="1" applyBorder="1"/>
    <xf numFmtId="0" fontId="2" fillId="10" borderId="5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16" borderId="49" xfId="0" applyFont="1" applyFill="1" applyBorder="1" applyAlignment="1">
      <alignment horizontal="center" vertical="center"/>
    </xf>
    <xf numFmtId="0" fontId="2" fillId="16" borderId="5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13" borderId="51" xfId="0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53" xfId="0" applyFont="1" applyBorder="1"/>
    <xf numFmtId="0" fontId="31" fillId="0" borderId="0" xfId="0" applyFont="1"/>
    <xf numFmtId="0" fontId="33" fillId="0" borderId="0" xfId="0" applyFont="1" applyAlignment="1">
      <alignment horizontal="left" vertical="center"/>
    </xf>
    <xf numFmtId="0" fontId="33" fillId="0" borderId="0" xfId="0" applyFont="1"/>
    <xf numFmtId="0" fontId="34" fillId="0" borderId="0" xfId="0" applyFont="1"/>
    <xf numFmtId="0" fontId="3" fillId="0" borderId="0" xfId="0" applyFont="1" applyFill="1" applyBorder="1" applyProtection="1"/>
    <xf numFmtId="0" fontId="8" fillId="0" borderId="0" xfId="0" applyFont="1" applyFill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13" borderId="42" xfId="0" applyFont="1" applyFill="1" applyBorder="1" applyAlignment="1" applyProtection="1">
      <alignment horizontal="center" vertical="center"/>
    </xf>
    <xf numFmtId="0" fontId="3" fillId="10" borderId="44" xfId="0" applyFont="1" applyFill="1" applyBorder="1" applyAlignment="1" applyProtection="1">
      <alignment horizontal="center" vertical="center"/>
      <protection locked="0"/>
    </xf>
    <xf numFmtId="0" fontId="3" fillId="10" borderId="50" xfId="0" applyFont="1" applyFill="1" applyBorder="1" applyAlignment="1" applyProtection="1">
      <alignment horizontal="center" vertical="center"/>
    </xf>
    <xf numFmtId="0" fontId="35" fillId="0" borderId="45" xfId="0" applyFont="1" applyFill="1" applyBorder="1" applyAlignment="1" applyProtection="1">
      <alignment horizontal="center" vertical="center"/>
      <protection locked="0"/>
    </xf>
    <xf numFmtId="0" fontId="35" fillId="0" borderId="44" xfId="0" applyFont="1" applyFill="1" applyBorder="1" applyAlignment="1" applyProtection="1">
      <alignment horizontal="center" vertical="center"/>
      <protection locked="0"/>
    </xf>
    <xf numFmtId="0" fontId="35" fillId="0" borderId="57" xfId="0" applyFont="1" applyFill="1" applyBorder="1" applyAlignment="1" applyProtection="1">
      <alignment horizontal="center" vertical="center"/>
      <protection locked="0"/>
    </xf>
    <xf numFmtId="0" fontId="35" fillId="0" borderId="46" xfId="0" applyFont="1" applyFill="1" applyBorder="1" applyAlignment="1" applyProtection="1">
      <alignment horizontal="center" vertical="center"/>
      <protection locked="0"/>
    </xf>
    <xf numFmtId="0" fontId="3" fillId="9" borderId="30" xfId="0" applyFont="1" applyFill="1" applyBorder="1" applyAlignment="1" applyProtection="1">
      <alignment horizontal="center" vertical="center"/>
    </xf>
    <xf numFmtId="0" fontId="23" fillId="13" borderId="48" xfId="0" applyFont="1" applyFill="1" applyBorder="1" applyAlignment="1" applyProtection="1">
      <alignment horizontal="center" vertical="center"/>
      <protection locked="0"/>
    </xf>
    <xf numFmtId="0" fontId="3" fillId="16" borderId="51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9" borderId="26" xfId="0" applyFont="1" applyFill="1" applyBorder="1" applyAlignment="1" applyProtection="1">
      <alignment horizontal="center" vertical="center"/>
      <protection locked="0"/>
    </xf>
    <xf numFmtId="0" fontId="1" fillId="9" borderId="30" xfId="0" applyFont="1" applyFill="1" applyBorder="1" applyAlignment="1" applyProtection="1">
      <alignment horizontal="center" vertical="center"/>
    </xf>
    <xf numFmtId="0" fontId="4" fillId="0" borderId="25" xfId="0" quotePrefix="1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  <protection locked="0"/>
    </xf>
    <xf numFmtId="0" fontId="3" fillId="15" borderId="49" xfId="0" applyFont="1" applyFill="1" applyBorder="1" applyAlignment="1" applyProtection="1">
      <alignment horizontal="center" vertical="center"/>
    </xf>
    <xf numFmtId="0" fontId="3" fillId="15" borderId="48" xfId="0" applyFont="1" applyFill="1" applyBorder="1" applyAlignment="1" applyProtection="1">
      <alignment horizontal="center" vertical="center"/>
    </xf>
    <xf numFmtId="0" fontId="2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6" fillId="0" borderId="0" xfId="0" applyFont="1"/>
    <xf numFmtId="0" fontId="3" fillId="9" borderId="0" xfId="0" applyFont="1" applyFill="1" applyAlignment="1" applyProtection="1">
      <alignment horizontal="center" vertical="center"/>
      <protection locked="0"/>
    </xf>
    <xf numFmtId="0" fontId="0" fillId="9" borderId="0" xfId="0" applyFill="1"/>
    <xf numFmtId="0" fontId="3" fillId="5" borderId="31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0" fontId="3" fillId="5" borderId="60" xfId="0" applyFont="1" applyFill="1" applyBorder="1" applyAlignment="1" applyProtection="1">
      <alignment horizontal="center" vertical="center"/>
    </xf>
    <xf numFmtId="0" fontId="1" fillId="9" borderId="31" xfId="0" quotePrefix="1" applyFont="1" applyFill="1" applyBorder="1" applyAlignment="1" applyProtection="1">
      <alignment horizontal="center" vertical="center"/>
    </xf>
    <xf numFmtId="0" fontId="1" fillId="9" borderId="3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19" fillId="9" borderId="30" xfId="0" applyFont="1" applyFill="1" applyBorder="1" applyAlignment="1" applyProtection="1">
      <alignment horizontal="center" vertical="center"/>
    </xf>
    <xf numFmtId="0" fontId="2" fillId="0" borderId="32" xfId="0" quotePrefix="1" applyFont="1" applyFill="1" applyBorder="1" applyAlignment="1" applyProtection="1">
      <alignment horizontal="center" vertical="center"/>
    </xf>
    <xf numFmtId="0" fontId="4" fillId="14" borderId="30" xfId="0" quotePrefix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0" fillId="17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FFCC00"/>
      <color rgb="FFA5EDFB"/>
      <color rgb="FFFF66CC"/>
      <color rgb="FFFF99FF"/>
      <color rgb="FFFF66FF"/>
      <color rgb="FFD7E4BC"/>
      <color rgb="FFFCD5B4"/>
      <color rgb="FFB6DDE8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106</xdr:row>
      <xdr:rowOff>47625</xdr:rowOff>
    </xdr:from>
    <xdr:to>
      <xdr:col>4</xdr:col>
      <xdr:colOff>600074</xdr:colOff>
      <xdr:row>110</xdr:row>
      <xdr:rowOff>38101</xdr:rowOff>
    </xdr:to>
    <xdr:sp macro="" textlink="">
      <xdr:nvSpPr>
        <xdr:cNvPr id="3" name="ZoneTexte 2"/>
        <xdr:cNvSpPr txBox="1"/>
      </xdr:nvSpPr>
      <xdr:spPr>
        <a:xfrm>
          <a:off x="609598" y="16383000"/>
          <a:ext cx="7143751" cy="7905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200" u="sng">
              <a:latin typeface="Times New Roman" pitchFamily="18" charset="0"/>
              <a:cs typeface="Times New Roman" pitchFamily="18" charset="0"/>
            </a:rPr>
            <a:t>Remarque préliminaire :</a:t>
          </a:r>
        </a:p>
        <a:p>
          <a:r>
            <a:rPr lang="fr-FR" sz="1200">
              <a:latin typeface="Times New Roman" pitchFamily="18" charset="0"/>
              <a:cs typeface="Times New Roman" pitchFamily="18" charset="0"/>
            </a:rPr>
            <a:t>C’est le total des points obtenus dans tous les concours qualificatifs auxquels l’équipe a participé qui est retenu, aussi bien pour le classement à l’issue du 4ème week-end que pour celui à l’issue du 5ème week-end.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158"/>
  <sheetViews>
    <sheetView workbookViewId="0">
      <selection activeCell="H7" sqref="H7"/>
    </sheetView>
  </sheetViews>
  <sheetFormatPr baseColWidth="10" defaultRowHeight="15"/>
  <cols>
    <col min="1" max="1" width="41.42578125" style="1" customWidth="1"/>
    <col min="2" max="2" width="22.140625" style="1" customWidth="1"/>
    <col min="3" max="3" width="24" style="1" customWidth="1"/>
    <col min="4" max="4" width="19.7109375" style="1" customWidth="1"/>
    <col min="5" max="5" width="20.5703125" style="1" customWidth="1"/>
    <col min="6" max="6" width="17" style="1" customWidth="1"/>
    <col min="7" max="7" width="11.42578125" style="1"/>
    <col min="8" max="8" width="26.28515625" style="1" customWidth="1"/>
    <col min="9" max="9" width="14.7109375" style="18" customWidth="1"/>
    <col min="10" max="10" width="23.140625" style="1" customWidth="1"/>
    <col min="11" max="11" width="19.42578125" style="1" customWidth="1"/>
    <col min="12" max="16384" width="11.42578125" style="1"/>
  </cols>
  <sheetData>
    <row r="1" spans="1:13" s="33" customFormat="1" ht="18" customHeight="1">
      <c r="C1" s="74" t="s">
        <v>67</v>
      </c>
      <c r="G1" s="30"/>
      <c r="I1" s="83"/>
    </row>
    <row r="2" spans="1:13" s="33" customFormat="1" ht="18" customHeight="1">
      <c r="C2" s="67"/>
      <c r="G2" s="30"/>
      <c r="L2" s="52"/>
      <c r="M2" s="52"/>
    </row>
    <row r="3" spans="1:13" ht="18.75">
      <c r="A3" s="33"/>
      <c r="B3" s="33"/>
      <c r="C3" s="74" t="s">
        <v>294</v>
      </c>
      <c r="D3" s="33"/>
      <c r="E3" s="33"/>
      <c r="F3" s="33"/>
      <c r="G3" s="30"/>
    </row>
    <row r="4" spans="1:13" ht="17.25" customHeight="1">
      <c r="A4" s="68"/>
      <c r="B4" s="69"/>
      <c r="C4" s="69"/>
      <c r="D4" s="69"/>
      <c r="E4" s="69"/>
      <c r="F4"/>
      <c r="G4"/>
    </row>
    <row r="5" spans="1:13" ht="18.75">
      <c r="A5" s="76" t="s">
        <v>100</v>
      </c>
      <c r="B5" s="69"/>
      <c r="C5" s="69"/>
      <c r="D5" s="69"/>
      <c r="E5" s="69"/>
      <c r="F5"/>
      <c r="G5"/>
    </row>
    <row r="6" spans="1:13">
      <c r="A6" s="68"/>
      <c r="B6" s="69"/>
      <c r="C6" s="69"/>
      <c r="D6" s="69"/>
      <c r="E6" s="69"/>
      <c r="F6"/>
      <c r="G6"/>
    </row>
    <row r="7" spans="1:13" ht="15.75">
      <c r="A7" s="75" t="s">
        <v>68</v>
      </c>
      <c r="B7" s="78"/>
      <c r="C7" s="78"/>
      <c r="D7" s="78"/>
      <c r="E7" s="78"/>
      <c r="F7" s="51"/>
      <c r="G7"/>
    </row>
    <row r="8" spans="1:13" ht="15.75">
      <c r="A8" s="75" t="s">
        <v>295</v>
      </c>
      <c r="B8" s="78"/>
      <c r="C8" s="78"/>
      <c r="D8" s="78"/>
      <c r="E8" s="78"/>
      <c r="F8" s="51"/>
      <c r="G8"/>
    </row>
    <row r="9" spans="1:13" ht="15.75">
      <c r="A9" s="75" t="s">
        <v>297</v>
      </c>
      <c r="B9" s="78"/>
      <c r="C9" s="78"/>
      <c r="D9" s="78"/>
      <c r="E9" s="78"/>
      <c r="F9" s="51"/>
      <c r="G9"/>
    </row>
    <row r="10" spans="1:13" ht="15.75">
      <c r="A10" s="75" t="s">
        <v>296</v>
      </c>
      <c r="B10" s="78"/>
      <c r="C10" s="78"/>
      <c r="D10" s="78"/>
      <c r="E10" s="78"/>
      <c r="F10" s="51"/>
      <c r="G10"/>
    </row>
    <row r="11" spans="1:13" ht="15.75">
      <c r="A11" s="75" t="s">
        <v>69</v>
      </c>
      <c r="B11" s="78"/>
      <c r="C11" s="78"/>
      <c r="D11" s="78"/>
      <c r="E11" s="78"/>
      <c r="F11" s="51"/>
      <c r="G11"/>
    </row>
    <row r="12" spans="1:13">
      <c r="A12" s="68"/>
      <c r="B12" s="69"/>
      <c r="C12" s="69"/>
      <c r="D12" s="69"/>
      <c r="E12" s="69"/>
      <c r="F12"/>
      <c r="G12"/>
    </row>
    <row r="13" spans="1:13" ht="18.75">
      <c r="A13" s="76" t="s">
        <v>99</v>
      </c>
      <c r="B13" s="69"/>
      <c r="C13" s="69"/>
      <c r="D13" s="69"/>
      <c r="E13" s="69"/>
      <c r="F13"/>
      <c r="G13"/>
    </row>
    <row r="14" spans="1:13">
      <c r="A14" s="68"/>
      <c r="B14" s="69"/>
      <c r="C14" s="69"/>
      <c r="D14" s="69"/>
      <c r="E14" s="69"/>
      <c r="F14"/>
      <c r="G14"/>
    </row>
    <row r="15" spans="1:13" ht="15.75">
      <c r="A15" s="75" t="s">
        <v>70</v>
      </c>
      <c r="B15" s="78"/>
      <c r="C15" s="78"/>
      <c r="D15" s="78"/>
      <c r="E15" s="78"/>
      <c r="F15" s="51"/>
      <c r="G15"/>
    </row>
    <row r="16" spans="1:13" ht="15.75">
      <c r="A16" s="75" t="s">
        <v>71</v>
      </c>
      <c r="B16" s="78"/>
      <c r="C16" s="78"/>
      <c r="D16" s="78"/>
      <c r="E16" s="78"/>
      <c r="F16" s="51"/>
      <c r="G16"/>
    </row>
    <row r="17" spans="1:7" ht="15.75">
      <c r="A17" s="75" t="s">
        <v>90</v>
      </c>
      <c r="B17" s="78"/>
      <c r="C17" s="78"/>
      <c r="D17" s="78"/>
      <c r="E17" s="78"/>
      <c r="F17" s="51"/>
      <c r="G17"/>
    </row>
    <row r="18" spans="1:7" ht="15.75">
      <c r="A18" s="75" t="s">
        <v>91</v>
      </c>
      <c r="B18" s="78"/>
      <c r="C18" s="78"/>
      <c r="D18" s="78"/>
      <c r="E18" s="78"/>
      <c r="F18" s="51"/>
      <c r="G18"/>
    </row>
    <row r="19" spans="1:7" ht="15.75" hidden="1" customHeight="1">
      <c r="A19" s="68"/>
      <c r="B19" s="69"/>
      <c r="C19" s="69"/>
      <c r="D19" s="69"/>
      <c r="E19" s="69"/>
      <c r="F19"/>
      <c r="G19"/>
    </row>
    <row r="20" spans="1:7" ht="15.75" hidden="1" customHeight="1">
      <c r="A20" s="68"/>
      <c r="B20" s="69"/>
      <c r="C20" s="69"/>
      <c r="D20" s="69"/>
      <c r="E20" s="69"/>
      <c r="F20"/>
      <c r="G20"/>
    </row>
    <row r="21" spans="1:7" ht="15.75" hidden="1" customHeight="1">
      <c r="A21" s="70" t="s">
        <v>72</v>
      </c>
      <c r="B21" s="69"/>
      <c r="C21" s="69"/>
      <c r="D21" s="69"/>
      <c r="E21" s="69"/>
      <c r="F21"/>
      <c r="G21"/>
    </row>
    <row r="22" spans="1:7" ht="15.75" hidden="1" customHeight="1">
      <c r="A22" s="68" t="s">
        <v>73</v>
      </c>
      <c r="B22" s="69"/>
      <c r="C22" s="69"/>
      <c r="D22" s="69"/>
      <c r="E22" s="69"/>
      <c r="F22"/>
      <c r="G22"/>
    </row>
    <row r="23" spans="1:7" ht="15.75" hidden="1" customHeight="1">
      <c r="A23" s="68"/>
      <c r="B23" s="69"/>
      <c r="C23" s="69"/>
      <c r="D23" s="69"/>
      <c r="E23" s="69"/>
      <c r="F23"/>
      <c r="G23"/>
    </row>
    <row r="24" spans="1:7" ht="15.75" hidden="1" customHeight="1">
      <c r="A24" s="68" t="s">
        <v>74</v>
      </c>
      <c r="B24" s="69"/>
      <c r="C24" s="69"/>
      <c r="D24" s="69"/>
      <c r="E24" s="69"/>
      <c r="F24"/>
      <c r="G24"/>
    </row>
    <row r="25" spans="1:7" ht="15.75" hidden="1" customHeight="1">
      <c r="A25" s="68" t="s">
        <v>75</v>
      </c>
      <c r="B25" s="69"/>
      <c r="C25" s="69"/>
      <c r="D25" s="69"/>
      <c r="E25" s="69"/>
      <c r="F25"/>
      <c r="G25"/>
    </row>
    <row r="26" spans="1:7" ht="15.75" hidden="1" customHeight="1">
      <c r="A26" s="68" t="s">
        <v>76</v>
      </c>
      <c r="B26" s="69"/>
      <c r="C26" s="69"/>
      <c r="D26" s="69"/>
      <c r="E26" s="69"/>
      <c r="F26"/>
      <c r="G26"/>
    </row>
    <row r="27" spans="1:7" ht="15.75" hidden="1" customHeight="1">
      <c r="A27" s="68"/>
      <c r="B27" s="69"/>
      <c r="C27" s="69"/>
      <c r="D27" s="69"/>
      <c r="E27" s="69"/>
      <c r="F27"/>
      <c r="G27"/>
    </row>
    <row r="28" spans="1:7" ht="15.75" hidden="1" customHeight="1">
      <c r="A28" s="68" t="s">
        <v>77</v>
      </c>
      <c r="B28" s="69"/>
      <c r="C28" s="69"/>
      <c r="D28" s="69"/>
      <c r="E28" s="69"/>
      <c r="F28"/>
      <c r="G28"/>
    </row>
    <row r="29" spans="1:7" ht="15.75" hidden="1" customHeight="1">
      <c r="A29" s="68" t="s">
        <v>92</v>
      </c>
      <c r="B29" s="69"/>
      <c r="C29" s="69"/>
      <c r="D29" s="69"/>
      <c r="E29" s="69"/>
      <c r="F29"/>
      <c r="G29"/>
    </row>
    <row r="30" spans="1:7" ht="15.75" hidden="1" customHeight="1">
      <c r="A30" s="72" t="s">
        <v>93</v>
      </c>
      <c r="B30" s="69"/>
      <c r="C30" s="69"/>
      <c r="D30" s="69"/>
      <c r="E30" s="69"/>
      <c r="F30"/>
      <c r="G30"/>
    </row>
    <row r="31" spans="1:7" ht="15.75" hidden="1" customHeight="1">
      <c r="A31" s="72" t="s">
        <v>94</v>
      </c>
      <c r="B31" s="69"/>
      <c r="C31" s="69"/>
      <c r="D31" s="69"/>
      <c r="E31" s="69"/>
      <c r="F31"/>
      <c r="G31"/>
    </row>
    <row r="32" spans="1:7" ht="15.75" hidden="1" customHeight="1">
      <c r="A32" s="68"/>
      <c r="B32" s="69"/>
      <c r="C32" s="69"/>
      <c r="D32" s="69"/>
      <c r="E32" s="69"/>
      <c r="F32"/>
      <c r="G32"/>
    </row>
    <row r="33" spans="1:7" ht="15.75" hidden="1" customHeight="1">
      <c r="A33" s="68" t="s">
        <v>95</v>
      </c>
      <c r="B33" s="69"/>
      <c r="C33" s="69"/>
      <c r="D33" s="69"/>
      <c r="E33" s="69"/>
      <c r="F33"/>
      <c r="G33"/>
    </row>
    <row r="34" spans="1:7" ht="15.75" hidden="1" customHeight="1">
      <c r="A34" s="68" t="s">
        <v>96</v>
      </c>
      <c r="B34" s="69"/>
      <c r="C34" s="69"/>
      <c r="D34" s="69"/>
      <c r="E34" s="69"/>
      <c r="F34"/>
      <c r="G34"/>
    </row>
    <row r="35" spans="1:7" ht="15.75" hidden="1" customHeight="1">
      <c r="A35" s="68" t="s">
        <v>78</v>
      </c>
      <c r="B35" s="69"/>
      <c r="C35" s="69"/>
      <c r="D35" s="69"/>
      <c r="E35" s="69"/>
      <c r="F35"/>
      <c r="G35"/>
    </row>
    <row r="36" spans="1:7" ht="15.75" hidden="1" customHeight="1">
      <c r="A36" s="68"/>
      <c r="B36" s="69"/>
      <c r="C36" s="69"/>
      <c r="D36" s="69"/>
      <c r="E36" s="69"/>
      <c r="F36"/>
      <c r="G36"/>
    </row>
    <row r="37" spans="1:7" ht="15.75" hidden="1" customHeight="1">
      <c r="A37" s="68" t="s">
        <v>79</v>
      </c>
      <c r="B37" s="69"/>
      <c r="C37" s="69"/>
      <c r="D37" s="69"/>
      <c r="E37" s="69"/>
      <c r="F37"/>
      <c r="G37"/>
    </row>
    <row r="38" spans="1:7" ht="15.75" hidden="1" customHeight="1">
      <c r="A38" s="68"/>
      <c r="B38" s="69"/>
      <c r="C38" s="69"/>
      <c r="D38" s="69"/>
      <c r="E38" s="69"/>
      <c r="F38"/>
      <c r="G38"/>
    </row>
    <row r="39" spans="1:7" ht="15.75" hidden="1" customHeight="1">
      <c r="A39" s="71" t="s">
        <v>80</v>
      </c>
      <c r="B39" s="69"/>
      <c r="C39" s="69"/>
      <c r="D39" s="69"/>
      <c r="E39" s="69"/>
      <c r="F39"/>
      <c r="G39"/>
    </row>
    <row r="40" spans="1:7" ht="15.75" hidden="1" customHeight="1">
      <c r="A40" s="68" t="s">
        <v>81</v>
      </c>
      <c r="B40" s="69"/>
      <c r="C40" s="69"/>
      <c r="D40" s="69"/>
      <c r="E40" s="69"/>
      <c r="F40"/>
      <c r="G40"/>
    </row>
    <row r="41" spans="1:7" ht="15.75" hidden="1" customHeight="1">
      <c r="A41" s="71" t="s">
        <v>82</v>
      </c>
      <c r="B41" s="69"/>
      <c r="C41" s="69"/>
      <c r="D41" s="69"/>
      <c r="E41" s="69"/>
      <c r="F41"/>
      <c r="G41"/>
    </row>
    <row r="42" spans="1:7" ht="15.75" hidden="1" customHeight="1">
      <c r="A42" s="68" t="s">
        <v>83</v>
      </c>
      <c r="B42" s="69"/>
      <c r="C42" s="69"/>
      <c r="D42" s="69"/>
      <c r="E42" s="69"/>
      <c r="F42"/>
      <c r="G42"/>
    </row>
    <row r="43" spans="1:7" ht="15.75" hidden="1" customHeight="1">
      <c r="A43" s="68" t="s">
        <v>84</v>
      </c>
      <c r="B43" s="69"/>
      <c r="C43" s="69"/>
      <c r="D43" s="69"/>
      <c r="E43" s="69"/>
      <c r="F43"/>
      <c r="G43"/>
    </row>
    <row r="44" spans="1:7" ht="15.75" hidden="1" customHeight="1">
      <c r="A44" s="71" t="s">
        <v>85</v>
      </c>
      <c r="B44" s="69"/>
      <c r="C44" s="69"/>
      <c r="D44" s="69"/>
      <c r="E44" s="69"/>
      <c r="F44"/>
      <c r="G44"/>
    </row>
    <row r="45" spans="1:7" ht="15.75" hidden="1" customHeight="1">
      <c r="A45" s="68" t="s">
        <v>86</v>
      </c>
      <c r="B45" s="69"/>
      <c r="C45" s="69"/>
      <c r="D45" s="69"/>
      <c r="E45" s="69"/>
      <c r="F45"/>
      <c r="G45"/>
    </row>
    <row r="46" spans="1:7" ht="15.75" hidden="1" customHeight="1">
      <c r="A46" s="68" t="s">
        <v>87</v>
      </c>
      <c r="B46" s="69"/>
      <c r="C46" s="69"/>
      <c r="D46" s="69"/>
      <c r="E46" s="69"/>
      <c r="F46"/>
      <c r="G46"/>
    </row>
    <row r="47" spans="1:7" ht="409.5" hidden="1" customHeight="1">
      <c r="A47" s="68" t="s">
        <v>88</v>
      </c>
      <c r="B47" s="69"/>
      <c r="C47" s="69"/>
      <c r="D47" s="69"/>
      <c r="E47" s="69"/>
      <c r="F47"/>
      <c r="G47"/>
    </row>
    <row r="48" spans="1:7">
      <c r="A48" s="68"/>
      <c r="B48" s="69"/>
      <c r="C48" s="69"/>
      <c r="D48" s="69"/>
      <c r="E48" s="69"/>
      <c r="F48"/>
      <c r="G48"/>
    </row>
    <row r="49" spans="1:10" ht="15.75">
      <c r="A49" s="79" t="s">
        <v>72</v>
      </c>
      <c r="B49" s="78"/>
      <c r="C49" s="78"/>
      <c r="D49" s="78"/>
      <c r="E49" s="78"/>
      <c r="F49" s="51"/>
      <c r="G49" s="51"/>
    </row>
    <row r="50" spans="1:10" ht="15.75">
      <c r="A50" s="79" t="s">
        <v>298</v>
      </c>
      <c r="B50" s="78"/>
      <c r="C50" s="78"/>
      <c r="D50" s="78"/>
      <c r="E50" s="78"/>
      <c r="F50" s="51"/>
      <c r="G50" s="51"/>
    </row>
    <row r="51" spans="1:10" ht="15.75">
      <c r="A51" s="65"/>
      <c r="B51" s="78"/>
      <c r="C51" s="78"/>
      <c r="D51" s="78"/>
      <c r="E51" s="78"/>
      <c r="F51" s="51"/>
      <c r="G51" s="51"/>
      <c r="H51"/>
      <c r="I51" s="64"/>
      <c r="J51"/>
    </row>
    <row r="52" spans="1:10" ht="15.75">
      <c r="A52" s="65" t="s">
        <v>74</v>
      </c>
      <c r="B52" s="78"/>
      <c r="C52" s="78"/>
      <c r="D52" s="78"/>
      <c r="E52" s="78"/>
      <c r="F52" s="51"/>
      <c r="G52" s="51"/>
      <c r="H52"/>
      <c r="I52" s="64"/>
      <c r="J52"/>
    </row>
    <row r="53" spans="1:10" ht="15.75">
      <c r="A53" s="65" t="s">
        <v>75</v>
      </c>
      <c r="B53" s="78"/>
      <c r="C53" s="78"/>
      <c r="D53" s="78"/>
      <c r="E53" s="78"/>
      <c r="F53" s="51"/>
      <c r="G53" s="51"/>
      <c r="H53"/>
      <c r="I53" s="64"/>
      <c r="J53"/>
    </row>
    <row r="54" spans="1:10" ht="15.75">
      <c r="A54" s="65" t="s">
        <v>76</v>
      </c>
      <c r="B54" s="78"/>
      <c r="C54" s="78"/>
      <c r="D54" s="78"/>
      <c r="E54" s="78"/>
      <c r="F54" s="51"/>
      <c r="G54" s="51"/>
      <c r="H54"/>
      <c r="I54" s="64"/>
      <c r="J54"/>
    </row>
    <row r="55" spans="1:10" ht="12" customHeight="1">
      <c r="A55" s="65"/>
      <c r="B55" s="78"/>
      <c r="C55" s="78"/>
      <c r="D55" s="78"/>
      <c r="E55" s="78"/>
      <c r="F55" s="51"/>
      <c r="G55" s="51"/>
      <c r="H55"/>
      <c r="I55" s="64"/>
      <c r="J55"/>
    </row>
    <row r="56" spans="1:10" ht="19.5" customHeight="1">
      <c r="A56" s="65" t="s">
        <v>77</v>
      </c>
      <c r="B56" s="78"/>
      <c r="C56" s="78"/>
      <c r="D56" s="78"/>
      <c r="E56" s="78"/>
      <c r="F56" s="51"/>
      <c r="G56" s="51"/>
      <c r="H56"/>
      <c r="I56" s="64"/>
      <c r="J56"/>
    </row>
    <row r="57" spans="1:10" ht="15.75">
      <c r="A57" s="65" t="s">
        <v>149</v>
      </c>
      <c r="B57" s="78"/>
      <c r="C57" s="78"/>
      <c r="D57" s="78"/>
      <c r="E57" s="78"/>
      <c r="F57" s="51"/>
      <c r="G57" s="51"/>
    </row>
    <row r="58" spans="1:10" ht="15.75">
      <c r="A58" s="80" t="s">
        <v>97</v>
      </c>
      <c r="B58" s="78"/>
      <c r="C58" s="78"/>
      <c r="D58" s="78"/>
      <c r="E58" s="78"/>
      <c r="F58" s="51"/>
      <c r="G58" s="51"/>
      <c r="H58"/>
      <c r="I58" s="64"/>
      <c r="J58"/>
    </row>
    <row r="59" spans="1:10" ht="15.75">
      <c r="A59" s="65" t="s">
        <v>98</v>
      </c>
      <c r="B59" s="78"/>
      <c r="C59" s="78"/>
      <c r="D59" s="78"/>
      <c r="E59" s="78"/>
      <c r="F59" s="51"/>
      <c r="G59" s="51"/>
      <c r="H59"/>
      <c r="I59" s="64"/>
      <c r="J59"/>
    </row>
    <row r="60" spans="1:10" ht="15.75">
      <c r="A60" s="65"/>
      <c r="B60" s="78"/>
      <c r="C60" s="78"/>
      <c r="D60" s="78"/>
      <c r="E60" s="78"/>
      <c r="F60" s="51"/>
      <c r="G60" s="51"/>
      <c r="H60"/>
      <c r="I60" s="64"/>
      <c r="J60"/>
    </row>
    <row r="61" spans="1:10" ht="15.75">
      <c r="A61" s="65" t="s">
        <v>150</v>
      </c>
      <c r="B61" s="78"/>
      <c r="C61" s="78"/>
      <c r="D61" s="78"/>
      <c r="E61" s="78"/>
      <c r="F61" s="51"/>
      <c r="G61" s="51"/>
      <c r="H61"/>
      <c r="I61" s="64"/>
      <c r="J61"/>
    </row>
    <row r="62" spans="1:10" ht="15.75">
      <c r="A62" s="65" t="s">
        <v>78</v>
      </c>
      <c r="B62" s="42"/>
      <c r="C62" s="42"/>
      <c r="D62" s="42"/>
      <c r="E62" s="2"/>
      <c r="F62" s="2"/>
      <c r="G62" s="2"/>
      <c r="H62"/>
      <c r="I62" s="64"/>
      <c r="J62"/>
    </row>
    <row r="63" spans="1:10" ht="15.75">
      <c r="A63" s="65"/>
      <c r="B63" s="42"/>
      <c r="C63" s="42"/>
      <c r="D63" s="42"/>
      <c r="E63" s="2"/>
      <c r="F63" s="2"/>
      <c r="G63" s="2"/>
      <c r="H63"/>
      <c r="I63" s="64"/>
      <c r="J63"/>
    </row>
    <row r="64" spans="1:10" ht="18.75">
      <c r="A64" s="77" t="s">
        <v>151</v>
      </c>
      <c r="B64" s="69"/>
      <c r="C64" s="69"/>
      <c r="D64" s="69"/>
      <c r="E64"/>
      <c r="F64"/>
      <c r="G64"/>
      <c r="H64"/>
      <c r="I64" s="64"/>
      <c r="J64"/>
    </row>
    <row r="65" spans="1:11">
      <c r="A65" s="66"/>
      <c r="B65" s="69"/>
      <c r="C65" s="69"/>
      <c r="D65" s="69"/>
      <c r="E65"/>
      <c r="F65"/>
      <c r="G65"/>
      <c r="H65"/>
      <c r="I65" s="64"/>
      <c r="J65"/>
    </row>
    <row r="66" spans="1:11" ht="19.5" customHeight="1">
      <c r="A66" s="81" t="s">
        <v>80</v>
      </c>
      <c r="B66" s="78"/>
      <c r="C66" s="69"/>
      <c r="D66" s="69"/>
      <c r="E66"/>
      <c r="F66"/>
      <c r="G66"/>
      <c r="H66"/>
      <c r="I66" s="64"/>
      <c r="J66"/>
    </row>
    <row r="67" spans="1:11" ht="15.75">
      <c r="A67" s="65" t="s">
        <v>81</v>
      </c>
      <c r="B67" s="78"/>
      <c r="C67" s="69"/>
      <c r="D67" s="69"/>
      <c r="E67"/>
      <c r="F67"/>
      <c r="G67"/>
    </row>
    <row r="68" spans="1:11" ht="15.75">
      <c r="A68" s="81" t="s">
        <v>82</v>
      </c>
      <c r="B68" s="78"/>
      <c r="C68" s="69"/>
      <c r="D68" s="69"/>
      <c r="E68"/>
      <c r="F68"/>
      <c r="G68"/>
    </row>
    <row r="69" spans="1:11" ht="22.5" customHeight="1">
      <c r="A69" s="65" t="s">
        <v>120</v>
      </c>
      <c r="B69" s="78"/>
      <c r="C69" s="69"/>
      <c r="D69" s="69"/>
      <c r="E69"/>
      <c r="F69" s="73"/>
      <c r="G69" s="73"/>
    </row>
    <row r="70" spans="1:11" ht="19.5" customHeight="1">
      <c r="A70" s="65" t="s">
        <v>121</v>
      </c>
      <c r="B70" s="78"/>
      <c r="C70" s="69"/>
      <c r="D70" s="69"/>
      <c r="E70"/>
      <c r="F70" s="73"/>
      <c r="G70" s="73"/>
    </row>
    <row r="71" spans="1:11" ht="21" customHeight="1">
      <c r="A71" s="81" t="s">
        <v>85</v>
      </c>
      <c r="B71" s="78"/>
      <c r="C71" s="69"/>
      <c r="D71" s="69"/>
      <c r="E71"/>
      <c r="F71"/>
      <c r="G71"/>
    </row>
    <row r="72" spans="1:11" ht="15.75">
      <c r="A72" s="65" t="s">
        <v>122</v>
      </c>
      <c r="B72" s="78"/>
      <c r="C72" s="69"/>
      <c r="D72" s="69"/>
      <c r="E72"/>
      <c r="F72"/>
      <c r="G72"/>
    </row>
    <row r="73" spans="1:11" ht="15.75">
      <c r="A73" s="65" t="s">
        <v>123</v>
      </c>
      <c r="B73" s="78"/>
      <c r="C73" s="69"/>
      <c r="D73" s="69"/>
      <c r="E73"/>
      <c r="F73"/>
      <c r="G73"/>
    </row>
    <row r="74" spans="1:11" ht="15.75">
      <c r="A74" s="65" t="s">
        <v>124</v>
      </c>
      <c r="B74" s="78"/>
      <c r="C74" s="69"/>
      <c r="D74" s="69"/>
      <c r="E74"/>
      <c r="F74"/>
      <c r="G74"/>
    </row>
    <row r="75" spans="1:11" ht="15.75">
      <c r="A75" s="65" t="s">
        <v>89</v>
      </c>
      <c r="B75" s="78"/>
      <c r="C75" s="69"/>
      <c r="D75" s="69"/>
      <c r="E75"/>
      <c r="F75"/>
      <c r="G75"/>
    </row>
    <row r="76" spans="1:11">
      <c r="A76" s="66"/>
      <c r="B76" s="69"/>
      <c r="C76" s="69"/>
      <c r="D76" s="69"/>
      <c r="E76"/>
      <c r="F76"/>
      <c r="G76"/>
    </row>
    <row r="77" spans="1:11" s="2" customFormat="1" ht="15.75">
      <c r="A77" s="2" t="s">
        <v>152</v>
      </c>
      <c r="B77" s="287"/>
      <c r="D77" s="51"/>
      <c r="H77" s="1"/>
      <c r="I77" s="18"/>
      <c r="J77" s="1"/>
      <c r="K77" s="1"/>
    </row>
    <row r="78" spans="1:11" s="2" customFormat="1" ht="15.75">
      <c r="A78" s="2" t="s">
        <v>299</v>
      </c>
      <c r="B78" s="287"/>
      <c r="D78" s="51"/>
    </row>
    <row r="79" spans="1:11" s="2" customFormat="1" ht="15.75">
      <c r="A79" s="2" t="s">
        <v>153</v>
      </c>
      <c r="B79" s="287"/>
      <c r="D79" s="51"/>
    </row>
    <row r="80" spans="1:11" s="2" customFormat="1" ht="15.75">
      <c r="A80" s="2" t="s">
        <v>154</v>
      </c>
      <c r="B80" s="287"/>
      <c r="D80" s="51"/>
    </row>
    <row r="81" spans="1:9" s="2" customFormat="1" ht="15.75">
      <c r="A81" s="2" t="s">
        <v>155</v>
      </c>
      <c r="B81" s="287"/>
      <c r="D81" s="51"/>
    </row>
    <row r="82" spans="1:9" s="2" customFormat="1" ht="15.75">
      <c r="A82" s="2" t="s">
        <v>300</v>
      </c>
      <c r="B82" s="287"/>
      <c r="D82" s="51"/>
    </row>
    <row r="83" spans="1:9" s="2" customFormat="1" ht="15.75">
      <c r="A83" s="2" t="s">
        <v>301</v>
      </c>
      <c r="B83" s="287"/>
      <c r="D83" s="51"/>
    </row>
    <row r="84" spans="1:9" s="2" customFormat="1" ht="15.75">
      <c r="B84" s="287" t="s">
        <v>302</v>
      </c>
      <c r="D84" s="51"/>
    </row>
    <row r="85" spans="1:9" ht="16.5" thickBot="1">
      <c r="A85"/>
      <c r="B85" s="2"/>
      <c r="C85" s="2"/>
      <c r="D85" s="2"/>
      <c r="E85" s="2"/>
      <c r="I85" s="1"/>
    </row>
    <row r="86" spans="1:9" ht="18.75">
      <c r="A86" s="53" t="s">
        <v>66</v>
      </c>
      <c r="B86" s="84"/>
      <c r="C86" s="54"/>
      <c r="D86" s="55"/>
      <c r="I86" s="1"/>
    </row>
    <row r="87" spans="1:9" ht="19.5" thickBot="1">
      <c r="A87" s="56"/>
      <c r="B87" s="677" t="s">
        <v>23</v>
      </c>
      <c r="C87" s="57" t="s">
        <v>55</v>
      </c>
      <c r="D87" s="58" t="s">
        <v>16</v>
      </c>
      <c r="I87" s="1"/>
    </row>
    <row r="88" spans="1:9" ht="15.75">
      <c r="A88" s="708" t="s">
        <v>14</v>
      </c>
      <c r="B88" s="681">
        <v>2</v>
      </c>
      <c r="C88" s="686" t="s">
        <v>280</v>
      </c>
      <c r="D88" s="687">
        <v>10</v>
      </c>
      <c r="I88" s="1"/>
    </row>
    <row r="89" spans="1:9" ht="15.75">
      <c r="A89" s="678" t="s">
        <v>15</v>
      </c>
      <c r="B89" s="682">
        <v>2</v>
      </c>
      <c r="C89" s="684" t="s">
        <v>286</v>
      </c>
      <c r="D89" s="688">
        <v>8</v>
      </c>
      <c r="I89" s="1"/>
    </row>
    <row r="90" spans="1:9" ht="15.75">
      <c r="A90" s="678" t="s">
        <v>63</v>
      </c>
      <c r="B90" s="682">
        <v>2</v>
      </c>
      <c r="C90" s="684" t="s">
        <v>287</v>
      </c>
      <c r="D90" s="688">
        <v>6</v>
      </c>
      <c r="I90" s="1"/>
    </row>
    <row r="91" spans="1:9" ht="16.5" thickBot="1">
      <c r="A91" s="709" t="s">
        <v>63</v>
      </c>
      <c r="B91" s="710">
        <v>2</v>
      </c>
      <c r="C91" s="711" t="s">
        <v>287</v>
      </c>
      <c r="D91" s="689">
        <v>6</v>
      </c>
      <c r="I91" s="1"/>
    </row>
    <row r="92" spans="1:9" ht="15.75">
      <c r="A92" s="706" t="s">
        <v>17</v>
      </c>
      <c r="B92" s="707">
        <v>2</v>
      </c>
      <c r="C92" s="684" t="s">
        <v>289</v>
      </c>
      <c r="D92" s="690">
        <v>6</v>
      </c>
      <c r="I92" s="1"/>
    </row>
    <row r="93" spans="1:9" ht="15.75">
      <c r="A93" s="679" t="s">
        <v>18</v>
      </c>
      <c r="B93" s="682">
        <v>2</v>
      </c>
      <c r="C93" s="685" t="s">
        <v>290</v>
      </c>
      <c r="D93" s="691">
        <v>5</v>
      </c>
      <c r="I93" s="1"/>
    </row>
    <row r="94" spans="1:9" ht="15.75">
      <c r="A94" s="679" t="s">
        <v>64</v>
      </c>
      <c r="B94" s="682">
        <v>2</v>
      </c>
      <c r="C94" s="685" t="s">
        <v>291</v>
      </c>
      <c r="D94" s="691">
        <v>4</v>
      </c>
      <c r="I94" s="1"/>
    </row>
    <row r="95" spans="1:9" ht="16.5" thickBot="1">
      <c r="A95" s="713" t="s">
        <v>64</v>
      </c>
      <c r="B95" s="710">
        <v>2</v>
      </c>
      <c r="C95" s="714" t="s">
        <v>291</v>
      </c>
      <c r="D95" s="692">
        <v>4</v>
      </c>
      <c r="I95" s="1"/>
    </row>
    <row r="96" spans="1:9" ht="15.75">
      <c r="A96" s="712" t="s">
        <v>19</v>
      </c>
      <c r="B96" s="707">
        <v>2</v>
      </c>
      <c r="C96" s="684" t="s">
        <v>288</v>
      </c>
      <c r="D96" s="693">
        <v>5</v>
      </c>
      <c r="I96" s="1"/>
    </row>
    <row r="97" spans="1:10" ht="15.75">
      <c r="A97" s="680" t="s">
        <v>20</v>
      </c>
      <c r="B97" s="682">
        <v>2</v>
      </c>
      <c r="C97" s="684" t="s">
        <v>292</v>
      </c>
      <c r="D97" s="694">
        <v>4</v>
      </c>
      <c r="I97" s="1"/>
    </row>
    <row r="98" spans="1:10" ht="15.75">
      <c r="A98" s="680" t="s">
        <v>65</v>
      </c>
      <c r="B98" s="682">
        <v>2</v>
      </c>
      <c r="C98" s="684" t="s">
        <v>293</v>
      </c>
      <c r="D98" s="694">
        <v>3</v>
      </c>
      <c r="I98" s="1"/>
    </row>
    <row r="99" spans="1:10" ht="16.5" thickBot="1">
      <c r="A99" s="680" t="s">
        <v>65</v>
      </c>
      <c r="B99" s="683">
        <v>2</v>
      </c>
      <c r="C99" s="684" t="s">
        <v>293</v>
      </c>
      <c r="D99" s="695">
        <v>3</v>
      </c>
      <c r="I99" s="1"/>
    </row>
    <row r="100" spans="1:10" ht="15.75" customHeight="1">
      <c r="A100" s="758" t="s">
        <v>285</v>
      </c>
      <c r="B100" s="681">
        <v>2</v>
      </c>
      <c r="C100" s="686">
        <v>0</v>
      </c>
      <c r="D100" s="696">
        <f>SUM(B100:C100)</f>
        <v>2</v>
      </c>
      <c r="I100" s="1"/>
    </row>
    <row r="101" spans="1:10" ht="15.75">
      <c r="A101" s="759"/>
      <c r="B101" s="682">
        <v>2</v>
      </c>
      <c r="C101" s="685">
        <v>0</v>
      </c>
      <c r="D101" s="697">
        <f>SUM(B101:C101)</f>
        <v>2</v>
      </c>
      <c r="I101" s="1"/>
    </row>
    <row r="102" spans="1:10" ht="15.75">
      <c r="A102" s="759"/>
      <c r="B102" s="682">
        <v>2</v>
      </c>
      <c r="C102" s="685">
        <v>0</v>
      </c>
      <c r="D102" s="697">
        <f>SUM(B102:C102)</f>
        <v>2</v>
      </c>
      <c r="I102" s="1"/>
    </row>
    <row r="103" spans="1:10" s="2" customFormat="1" ht="16.5" thickBot="1">
      <c r="A103" s="760"/>
      <c r="B103" s="682">
        <v>2</v>
      </c>
      <c r="C103" s="685">
        <v>0</v>
      </c>
      <c r="D103" s="697">
        <f t="shared" ref="D103" si="0">SUM(B103:C103)</f>
        <v>2</v>
      </c>
      <c r="E103" s="1"/>
    </row>
    <row r="104" spans="1:10" s="2" customFormat="1" ht="15.75">
      <c r="A104" s="702" t="s">
        <v>281</v>
      </c>
      <c r="B104" s="703" t="s">
        <v>282</v>
      </c>
      <c r="C104" s="704"/>
      <c r="D104" s="705"/>
    </row>
    <row r="105" spans="1:10" s="2" customFormat="1" ht="16.5" thickBot="1">
      <c r="A105" s="698" t="s">
        <v>283</v>
      </c>
      <c r="B105" s="699" t="s">
        <v>284</v>
      </c>
      <c r="C105" s="700"/>
      <c r="D105" s="701"/>
    </row>
    <row r="106" spans="1:10" s="2" customFormat="1" ht="15.75">
      <c r="C106" s="287"/>
    </row>
    <row r="107" spans="1:10" s="2" customFormat="1" ht="15.75">
      <c r="A107"/>
      <c r="B107"/>
      <c r="C107"/>
      <c r="D107"/>
      <c r="E107"/>
      <c r="F107"/>
      <c r="I107" s="287"/>
    </row>
    <row r="108" spans="1:10" s="2" customFormat="1" ht="15.75">
      <c r="A108"/>
      <c r="B108"/>
      <c r="C108"/>
      <c r="D108"/>
      <c r="E108"/>
      <c r="F108"/>
      <c r="G108" s="1"/>
      <c r="I108" s="287"/>
    </row>
    <row r="109" spans="1:10" s="2" customFormat="1" ht="15.75">
      <c r="A109"/>
      <c r="B109"/>
      <c r="C109"/>
      <c r="D109"/>
      <c r="E109"/>
      <c r="F109"/>
      <c r="G109" s="1"/>
      <c r="H109" s="1"/>
      <c r="I109" s="18"/>
      <c r="J109" s="1"/>
    </row>
    <row r="110" spans="1:10" s="2" customFormat="1" ht="15.75">
      <c r="A110"/>
      <c r="B110"/>
      <c r="C110"/>
      <c r="D110"/>
      <c r="E110"/>
      <c r="F110"/>
      <c r="G110" s="1"/>
      <c r="H110" s="1"/>
      <c r="I110" s="18"/>
      <c r="J110" s="1"/>
    </row>
    <row r="111" spans="1:10" s="2" customFormat="1" ht="15.75">
      <c r="A111"/>
      <c r="B111"/>
      <c r="C111"/>
      <c r="D111"/>
      <c r="E111"/>
      <c r="F111"/>
      <c r="G111" s="1"/>
      <c r="H111" s="1"/>
      <c r="I111" s="18"/>
      <c r="J111" s="1"/>
    </row>
    <row r="112" spans="1:10" s="2" customFormat="1" ht="15.75">
      <c r="A112"/>
      <c r="B112" s="78"/>
      <c r="C112" s="78"/>
      <c r="D112" s="78"/>
      <c r="E112" s="78"/>
      <c r="F112" s="51"/>
      <c r="G112" s="1"/>
      <c r="H112" s="1"/>
      <c r="I112" s="18"/>
      <c r="J112" s="1"/>
    </row>
    <row r="113" spans="1:10" s="2" customFormat="1" ht="15.75">
      <c r="A113" s="290" t="s">
        <v>156</v>
      </c>
      <c r="E113" s="42"/>
      <c r="G113" s="1"/>
      <c r="H113" s="1"/>
      <c r="I113" s="18"/>
      <c r="J113" s="1"/>
    </row>
    <row r="114" spans="1:10" s="2" customFormat="1" ht="15.75">
      <c r="E114" s="42"/>
      <c r="G114" s="1"/>
      <c r="H114" s="1"/>
      <c r="I114" s="18"/>
      <c r="J114" s="1"/>
    </row>
    <row r="115" spans="1:10" s="2" customFormat="1" ht="15.75">
      <c r="A115" s="2" t="s">
        <v>157</v>
      </c>
      <c r="E115" s="82"/>
      <c r="F115" s="79"/>
      <c r="G115" s="1"/>
      <c r="H115" s="1"/>
      <c r="I115" s="18"/>
      <c r="J115" s="1"/>
    </row>
    <row r="116" spans="1:10" s="2" customFormat="1" ht="15.75">
      <c r="A116" s="2" t="s">
        <v>158</v>
      </c>
      <c r="E116" s="82"/>
      <c r="F116" s="79"/>
      <c r="G116" s="1"/>
      <c r="H116" s="1"/>
      <c r="I116" s="18"/>
      <c r="J116" s="1"/>
    </row>
    <row r="117" spans="1:10" s="2" customFormat="1" ht="15.75">
      <c r="A117" s="2" t="s">
        <v>168</v>
      </c>
      <c r="E117" s="82"/>
      <c r="F117" s="79"/>
      <c r="G117" s="1"/>
      <c r="H117" s="1"/>
      <c r="I117" s="18"/>
      <c r="J117" s="1"/>
    </row>
    <row r="118" spans="1:10" s="2" customFormat="1" ht="15.75">
      <c r="A118" s="2" t="s">
        <v>169</v>
      </c>
      <c r="E118" s="82"/>
      <c r="F118" s="79"/>
      <c r="G118" s="1"/>
      <c r="H118" s="1"/>
      <c r="I118" s="18"/>
      <c r="J118" s="1"/>
    </row>
    <row r="119" spans="1:10" s="2" customFormat="1" ht="15.75">
      <c r="E119" s="82"/>
      <c r="F119" s="79"/>
      <c r="G119" s="1"/>
      <c r="H119" s="1"/>
      <c r="I119" s="18"/>
      <c r="J119" s="1"/>
    </row>
    <row r="120" spans="1:10" s="2" customFormat="1" ht="15.75">
      <c r="A120" s="290" t="s">
        <v>159</v>
      </c>
      <c r="E120" s="82"/>
      <c r="F120" s="79"/>
      <c r="G120" s="1"/>
      <c r="H120" s="1"/>
      <c r="I120" s="18"/>
      <c r="J120" s="1"/>
    </row>
    <row r="121" spans="1:10" s="2" customFormat="1" ht="15.75">
      <c r="E121" s="82"/>
      <c r="F121" s="79"/>
      <c r="G121" s="1"/>
      <c r="H121" s="1"/>
      <c r="I121" s="18"/>
      <c r="J121" s="1"/>
    </row>
    <row r="122" spans="1:10" s="2" customFormat="1" ht="15.75">
      <c r="A122" s="2" t="s">
        <v>170</v>
      </c>
      <c r="E122" s="82"/>
      <c r="F122" s="79"/>
      <c r="G122" s="1"/>
      <c r="H122" s="1"/>
      <c r="I122" s="18"/>
      <c r="J122" s="1"/>
    </row>
    <row r="123" spans="1:10" s="2" customFormat="1" ht="15.75">
      <c r="A123" s="2" t="s">
        <v>171</v>
      </c>
      <c r="E123" s="82"/>
      <c r="F123" s="79"/>
      <c r="G123" s="1"/>
      <c r="H123" s="1"/>
      <c r="I123" s="18"/>
      <c r="J123" s="1"/>
    </row>
    <row r="124" spans="1:10" s="2" customFormat="1" ht="15.75">
      <c r="E124" s="82"/>
      <c r="F124" s="79"/>
      <c r="G124" s="1"/>
      <c r="H124" s="1"/>
      <c r="I124" s="18"/>
      <c r="J124" s="1"/>
    </row>
    <row r="125" spans="1:10" s="2" customFormat="1" ht="15.75">
      <c r="A125" s="288" t="s">
        <v>172</v>
      </c>
      <c r="E125" s="82"/>
      <c r="F125" s="79"/>
      <c r="G125" s="1"/>
      <c r="H125" s="1"/>
      <c r="I125" s="18"/>
      <c r="J125" s="1"/>
    </row>
    <row r="126" spans="1:10" s="2" customFormat="1" ht="15.75">
      <c r="A126" s="288" t="s">
        <v>173</v>
      </c>
      <c r="E126" s="82"/>
      <c r="F126" s="79"/>
      <c r="G126" s="1"/>
      <c r="H126" s="1"/>
      <c r="I126" s="18"/>
      <c r="J126" s="1"/>
    </row>
    <row r="127" spans="1:10" s="2" customFormat="1" ht="15.75">
      <c r="A127" s="288" t="s">
        <v>174</v>
      </c>
      <c r="E127" s="82"/>
      <c r="F127" s="79"/>
      <c r="G127" s="1"/>
      <c r="H127" s="1"/>
      <c r="I127" s="18"/>
      <c r="J127" s="1"/>
    </row>
    <row r="128" spans="1:10" s="2" customFormat="1" ht="15.75">
      <c r="A128" s="288"/>
      <c r="E128" s="82"/>
      <c r="F128" s="79"/>
      <c r="G128" s="1"/>
      <c r="H128" s="1"/>
      <c r="I128" s="18"/>
      <c r="J128" s="1"/>
    </row>
    <row r="129" spans="1:11" s="2" customFormat="1" ht="15.75">
      <c r="A129" s="288" t="s">
        <v>175</v>
      </c>
      <c r="E129" s="82"/>
      <c r="F129" s="79"/>
      <c r="G129" s="1"/>
      <c r="H129" s="1"/>
      <c r="I129" s="18"/>
      <c r="J129" s="1"/>
    </row>
    <row r="130" spans="1:11" s="2" customFormat="1" ht="15.75">
      <c r="A130" s="288" t="s">
        <v>176</v>
      </c>
      <c r="E130" s="82"/>
      <c r="F130" s="79"/>
      <c r="G130" s="1"/>
      <c r="H130" s="1"/>
      <c r="I130" s="18"/>
      <c r="J130" s="1"/>
    </row>
    <row r="131" spans="1:11" s="2" customFormat="1" ht="15.75">
      <c r="A131" s="288" t="s">
        <v>177</v>
      </c>
      <c r="E131" s="82"/>
      <c r="F131" s="79"/>
      <c r="G131" s="1"/>
      <c r="H131" s="1"/>
      <c r="I131" s="18"/>
      <c r="J131" s="1"/>
    </row>
    <row r="132" spans="1:11" ht="15.75">
      <c r="A132" s="288"/>
      <c r="B132" s="2"/>
      <c r="C132" s="2"/>
      <c r="D132" s="2"/>
      <c r="E132" s="82"/>
      <c r="F132" s="79"/>
      <c r="K132" s="2"/>
    </row>
    <row r="133" spans="1:11" ht="15.75">
      <c r="A133" s="79" t="s">
        <v>160</v>
      </c>
      <c r="B133" s="2"/>
      <c r="C133" s="2"/>
      <c r="D133" s="2"/>
      <c r="E133" s="82"/>
      <c r="F133" s="79"/>
    </row>
    <row r="134" spans="1:11" ht="15.75">
      <c r="A134" s="79" t="s">
        <v>161</v>
      </c>
      <c r="B134" s="2"/>
      <c r="C134" s="2"/>
      <c r="D134" s="2"/>
      <c r="E134" s="82"/>
      <c r="F134" s="79"/>
    </row>
    <row r="135" spans="1:11" ht="15.75">
      <c r="A135" s="79" t="s">
        <v>162</v>
      </c>
      <c r="B135" s="2"/>
      <c r="C135" s="2"/>
      <c r="D135" s="2"/>
      <c r="E135" s="82"/>
      <c r="F135" s="79"/>
    </row>
    <row r="136" spans="1:11" ht="15.75">
      <c r="A136" s="2"/>
      <c r="B136" s="2"/>
      <c r="C136" s="2"/>
      <c r="D136" s="2"/>
      <c r="E136" s="82"/>
      <c r="F136" s="79"/>
    </row>
    <row r="137" spans="1:11" ht="15.75">
      <c r="A137" s="715" t="s">
        <v>163</v>
      </c>
      <c r="B137" s="2"/>
      <c r="C137" s="2"/>
      <c r="D137" s="2"/>
      <c r="E137" s="82"/>
      <c r="F137" s="79"/>
    </row>
    <row r="138" spans="1:11" ht="16.5" thickBot="1">
      <c r="A138" s="716" t="s">
        <v>303</v>
      </c>
      <c r="B138" s="717"/>
      <c r="C138" s="717"/>
      <c r="D138" s="717"/>
      <c r="E138" s="718"/>
      <c r="F138" s="719"/>
      <c r="G138" s="720"/>
      <c r="H138" s="720"/>
    </row>
    <row r="139" spans="1:11" ht="15.75">
      <c r="A139" s="715" t="s">
        <v>304</v>
      </c>
      <c r="B139" s="717"/>
      <c r="C139" s="717"/>
      <c r="D139" s="717"/>
      <c r="E139" s="718"/>
      <c r="F139" s="719"/>
      <c r="G139" s="720"/>
      <c r="H139" s="720"/>
    </row>
    <row r="140" spans="1:11" ht="15.75">
      <c r="A140" s="2"/>
      <c r="B140" s="2"/>
      <c r="C140" s="2"/>
      <c r="D140" s="2"/>
      <c r="E140" s="82"/>
      <c r="F140" s="79"/>
    </row>
    <row r="141" spans="1:11" ht="15.75">
      <c r="A141" s="289" t="s">
        <v>164</v>
      </c>
      <c r="B141" s="2"/>
      <c r="C141" s="2"/>
      <c r="D141" s="2"/>
      <c r="E141" s="82"/>
      <c r="F141" s="79"/>
    </row>
    <row r="142" spans="1:11" ht="15.75">
      <c r="A142" s="2"/>
      <c r="B142" s="2"/>
      <c r="C142" s="2"/>
      <c r="D142" s="2"/>
      <c r="E142" s="82"/>
      <c r="F142" s="79"/>
    </row>
    <row r="143" spans="1:11" ht="15.75">
      <c r="A143" s="2" t="s">
        <v>165</v>
      </c>
      <c r="B143" s="2"/>
      <c r="C143" s="2"/>
      <c r="D143" s="2"/>
      <c r="E143" s="82"/>
      <c r="F143" s="79"/>
    </row>
    <row r="144" spans="1:11" ht="15.75">
      <c r="A144" s="2" t="s">
        <v>166</v>
      </c>
      <c r="B144" s="2"/>
      <c r="C144" s="2"/>
      <c r="D144" s="2"/>
      <c r="E144" s="82"/>
      <c r="F144" s="79"/>
    </row>
    <row r="145" spans="1:6" ht="15.75">
      <c r="A145" s="2" t="s">
        <v>167</v>
      </c>
      <c r="B145" s="2"/>
      <c r="C145" s="2"/>
      <c r="D145" s="2"/>
      <c r="E145" s="42"/>
      <c r="F145" s="2"/>
    </row>
    <row r="146" spans="1:6" ht="15.75">
      <c r="E146" s="42"/>
    </row>
    <row r="147" spans="1:6">
      <c r="A147"/>
      <c r="B147"/>
      <c r="C147"/>
      <c r="D147"/>
      <c r="E147" s="69"/>
    </row>
    <row r="148" spans="1:6">
      <c r="A148"/>
      <c r="B148"/>
      <c r="C148"/>
      <c r="D148"/>
      <c r="E148" s="69"/>
    </row>
    <row r="149" spans="1:6">
      <c r="A149"/>
      <c r="B149"/>
      <c r="C149"/>
      <c r="D149"/>
      <c r="E149" s="69"/>
    </row>
    <row r="150" spans="1:6">
      <c r="A150"/>
      <c r="B150"/>
      <c r="C150"/>
      <c r="D150"/>
      <c r="E150" s="69"/>
    </row>
    <row r="151" spans="1:6">
      <c r="A151"/>
      <c r="B151"/>
      <c r="C151"/>
      <c r="D151"/>
      <c r="E151" s="69"/>
    </row>
    <row r="152" spans="1:6">
      <c r="A152"/>
      <c r="B152"/>
      <c r="C152"/>
      <c r="D152"/>
      <c r="E152" s="69"/>
    </row>
    <row r="153" spans="1:6">
      <c r="A153"/>
      <c r="B153"/>
      <c r="C153"/>
      <c r="D153"/>
      <c r="E153" s="69"/>
    </row>
    <row r="154" spans="1:6">
      <c r="A154"/>
      <c r="B154"/>
      <c r="C154"/>
      <c r="D154"/>
      <c r="E154" s="69"/>
    </row>
    <row r="155" spans="1:6">
      <c r="A155"/>
      <c r="B155"/>
      <c r="C155"/>
      <c r="D155"/>
      <c r="E155" s="69"/>
    </row>
    <row r="156" spans="1:6">
      <c r="A156"/>
      <c r="B156"/>
      <c r="C156"/>
      <c r="D156"/>
      <c r="E156" s="69"/>
    </row>
    <row r="157" spans="1:6">
      <c r="A157"/>
      <c r="B157"/>
      <c r="C157"/>
      <c r="D157"/>
      <c r="E157" s="69"/>
    </row>
    <row r="158" spans="1:6">
      <c r="A158"/>
      <c r="B158"/>
      <c r="C158"/>
      <c r="D158"/>
    </row>
  </sheetData>
  <mergeCells count="1">
    <mergeCell ref="A100:A103"/>
  </mergeCells>
  <pageMargins left="0.12" right="0.11" top="0.26" bottom="0.34" header="0.15748031496062992" footer="0.23622047244094491"/>
  <pageSetup scale="96" orientation="landscape" horizontalDpi="4294967292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</sheetPr>
  <dimension ref="A1:AT66"/>
  <sheetViews>
    <sheetView zoomScale="60" zoomScaleNormal="60" workbookViewId="0">
      <selection activeCell="H26" sqref="H26"/>
    </sheetView>
  </sheetViews>
  <sheetFormatPr baseColWidth="10" defaultRowHeight="15"/>
  <cols>
    <col min="1" max="1" width="6.5703125" style="161" customWidth="1"/>
    <col min="2" max="2" width="30.42578125" style="161" customWidth="1"/>
    <col min="3" max="3" width="19.140625" style="161" customWidth="1"/>
    <col min="4" max="4" width="6.85546875" style="161" customWidth="1"/>
    <col min="5" max="5" width="6.5703125" style="161" customWidth="1"/>
    <col min="6" max="6" width="7.85546875" style="161" customWidth="1"/>
    <col min="7" max="7" width="6.42578125" style="161" hidden="1" customWidth="1"/>
    <col min="8" max="8" width="26.140625" style="161" customWidth="1"/>
    <col min="9" max="9" width="8.85546875" style="161" hidden="1" customWidth="1"/>
    <col min="10" max="10" width="9.7109375" style="161" customWidth="1"/>
    <col min="11" max="11" width="6" style="161" customWidth="1"/>
    <col min="12" max="12" width="5.85546875" style="161" customWidth="1"/>
    <col min="13" max="13" width="32.5703125" style="161" customWidth="1"/>
    <col min="14" max="14" width="8.140625" style="161" hidden="1" customWidth="1"/>
    <col min="15" max="15" width="9.5703125" style="161" customWidth="1"/>
    <col min="16" max="17" width="6.5703125" style="161" customWidth="1"/>
    <col min="18" max="18" width="28.28515625" style="161" customWidth="1"/>
    <col min="19" max="19" width="7.5703125" style="161" hidden="1" customWidth="1"/>
    <col min="20" max="20" width="8.42578125" style="161" customWidth="1"/>
    <col min="21" max="21" width="6" style="161" customWidth="1"/>
    <col min="22" max="22" width="7" style="161" customWidth="1"/>
    <col min="23" max="23" width="27.42578125" style="161" customWidth="1"/>
    <col min="24" max="24" width="11.42578125" style="161" hidden="1" customWidth="1"/>
    <col min="25" max="25" width="6.5703125" style="161" customWidth="1"/>
    <col min="26" max="26" width="6.42578125" style="161" customWidth="1"/>
    <col min="27" max="27" width="7" style="161" hidden="1" customWidth="1"/>
    <col min="28" max="28" width="28.85546875" style="161" hidden="1" customWidth="1"/>
    <col min="29" max="29" width="8.7109375" style="161" hidden="1" customWidth="1"/>
    <col min="30" max="31" width="9.28515625" style="161" hidden="1" customWidth="1"/>
    <col min="32" max="32" width="8.42578125" style="161" hidden="1" customWidth="1"/>
    <col min="33" max="33" width="11.85546875" style="161" hidden="1" customWidth="1"/>
    <col min="34" max="34" width="8.5703125" style="161" hidden="1" customWidth="1"/>
    <col min="35" max="35" width="9.140625" style="161" hidden="1" customWidth="1"/>
    <col min="36" max="36" width="11.42578125" style="161" customWidth="1"/>
    <col min="37" max="37" width="30.5703125" style="161" customWidth="1"/>
    <col min="38" max="38" width="25.85546875" style="161" bestFit="1" customWidth="1"/>
    <col min="39" max="39" width="6" style="161" customWidth="1"/>
    <col min="40" max="40" width="19.85546875" style="161" customWidth="1"/>
    <col min="41" max="41" width="9.5703125" style="161" bestFit="1" customWidth="1"/>
    <col min="42" max="42" width="45.5703125" style="161" customWidth="1"/>
    <col min="43" max="43" width="15.28515625" style="161" customWidth="1"/>
    <col min="44" max="44" width="13" style="161" customWidth="1"/>
    <col min="45" max="16384" width="11.42578125" style="161"/>
  </cols>
  <sheetData>
    <row r="1" spans="1:43" s="415" customFormat="1" ht="37.5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R1" s="412" t="s">
        <v>138</v>
      </c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</row>
    <row r="2" spans="1:43" ht="29.25" customHeight="1" thickBot="1">
      <c r="A2" s="44"/>
      <c r="B2" s="357" t="s">
        <v>59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R2" s="44"/>
      <c r="S2" s="44"/>
      <c r="T2" s="44"/>
      <c r="U2" s="44"/>
      <c r="V2" s="113"/>
      <c r="W2" s="113"/>
      <c r="X2" s="44"/>
      <c r="Y2" s="44"/>
      <c r="Z2" s="113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43" ht="24.75" customHeight="1">
      <c r="A3" s="44"/>
      <c r="B3" s="44"/>
      <c r="C3" s="44"/>
      <c r="D3" s="44"/>
      <c r="E3" s="44"/>
      <c r="F3" s="44"/>
      <c r="G3" s="44"/>
      <c r="H3" s="46" t="s">
        <v>3</v>
      </c>
      <c r="I3" s="46"/>
      <c r="J3" s="46"/>
      <c r="K3" s="46"/>
      <c r="L3" s="46"/>
      <c r="M3" s="46" t="s">
        <v>5</v>
      </c>
      <c r="N3" s="140"/>
      <c r="O3" s="46"/>
      <c r="P3" s="46"/>
      <c r="Q3" s="46"/>
      <c r="R3" s="46" t="s">
        <v>229</v>
      </c>
      <c r="S3" s="46"/>
      <c r="T3" s="44"/>
      <c r="U3" s="44"/>
      <c r="V3" s="44"/>
      <c r="W3" s="46" t="s">
        <v>230</v>
      </c>
      <c r="X3" s="46"/>
      <c r="Y3" s="44"/>
      <c r="Z3" s="113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</row>
    <row r="4" spans="1:43" ht="15.75" customHeight="1" thickBot="1">
      <c r="A4" s="44"/>
      <c r="B4" s="44"/>
      <c r="C4" s="44"/>
      <c r="D4" s="44"/>
      <c r="E4" s="44"/>
      <c r="F4" s="44"/>
      <c r="G4" s="44"/>
      <c r="H4" s="46"/>
      <c r="I4" s="46"/>
      <c r="J4" s="46"/>
      <c r="K4" s="44"/>
      <c r="L4" s="46"/>
      <c r="M4" s="46"/>
      <c r="N4" s="140"/>
      <c r="O4" s="46"/>
      <c r="P4" s="44"/>
      <c r="Q4" s="46"/>
      <c r="R4" s="46"/>
      <c r="S4" s="46"/>
      <c r="T4" s="44"/>
      <c r="U4" s="44"/>
      <c r="V4" s="44"/>
      <c r="W4" s="44"/>
      <c r="X4" s="44"/>
      <c r="Y4" s="44"/>
      <c r="Z4" s="113"/>
      <c r="AA4" s="113"/>
      <c r="AB4" s="113"/>
      <c r="AC4" s="113"/>
      <c r="AD4" s="113"/>
      <c r="AE4" s="113"/>
      <c r="AF4" s="113"/>
      <c r="AG4" s="61"/>
      <c r="AH4" s="61"/>
      <c r="AI4" s="61"/>
      <c r="AJ4" s="61"/>
      <c r="AK4" s="113"/>
      <c r="AL4" s="113"/>
    </row>
    <row r="5" spans="1:43" ht="27" customHeight="1" thickBot="1">
      <c r="A5" s="44"/>
      <c r="B5" s="44"/>
      <c r="C5" s="44"/>
      <c r="D5" s="44"/>
      <c r="E5" s="44"/>
      <c r="F5" s="44"/>
      <c r="G5" s="44"/>
      <c r="H5" s="46"/>
      <c r="I5" s="46"/>
      <c r="J5" s="46"/>
      <c r="K5" s="44"/>
      <c r="L5" s="44"/>
      <c r="M5" s="44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405" t="s">
        <v>108</v>
      </c>
      <c r="T5" s="44" t="s">
        <v>107</v>
      </c>
      <c r="U5" s="44"/>
      <c r="V5" s="44"/>
      <c r="W5" s="44"/>
      <c r="X5" s="44"/>
      <c r="Y5" s="44"/>
      <c r="Z5" s="113"/>
      <c r="AA5" s="113"/>
      <c r="AB5" s="113"/>
      <c r="AC5" s="113"/>
      <c r="AD5" s="113"/>
      <c r="AE5" s="113"/>
      <c r="AF5" s="113"/>
      <c r="AG5" s="246"/>
      <c r="AH5" s="246"/>
      <c r="AI5" s="246"/>
      <c r="AJ5" s="246"/>
      <c r="AK5" s="766" t="s">
        <v>129</v>
      </c>
      <c r="AL5" s="767"/>
      <c r="AO5" s="772" t="s">
        <v>113</v>
      </c>
      <c r="AP5" s="773"/>
      <c r="AQ5" s="774"/>
    </row>
    <row r="6" spans="1:43" ht="26.25" customHeight="1" thickBot="1">
      <c r="A6" s="190"/>
      <c r="B6" s="353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05" t="s">
        <v>108</v>
      </c>
      <c r="J6" s="44" t="s">
        <v>107</v>
      </c>
      <c r="K6" s="44"/>
      <c r="L6" s="570" t="s">
        <v>2</v>
      </c>
      <c r="M6" s="519" t="str">
        <f>IF(J7=J8,"Gagnant du 1",IF(J7&gt;J8,H7,H8))</f>
        <v>Gagnant du 1</v>
      </c>
      <c r="N6" s="171">
        <f>IF(O6=O7,0,IF(O6&lt;O7,0,2))</f>
        <v>0</v>
      </c>
      <c r="O6" s="576"/>
      <c r="P6" s="44"/>
      <c r="Q6" s="570" t="s">
        <v>2</v>
      </c>
      <c r="R6" s="528" t="str">
        <f>IF(O6=O7,"Gagnant du 3",IF(O6&gt;O7,M6,M7))</f>
        <v>Gagnant du 3</v>
      </c>
      <c r="S6" s="152">
        <v>1</v>
      </c>
      <c r="T6" s="121">
        <v>1</v>
      </c>
      <c r="U6" s="44"/>
      <c r="V6" s="44"/>
      <c r="W6" s="44" t="s">
        <v>9</v>
      </c>
      <c r="X6" s="405" t="s">
        <v>108</v>
      </c>
      <c r="Y6" s="44" t="s">
        <v>107</v>
      </c>
      <c r="Z6" s="61"/>
      <c r="AA6" s="113"/>
      <c r="AB6" s="141" t="s">
        <v>111</v>
      </c>
      <c r="AC6" s="238" t="s">
        <v>189</v>
      </c>
      <c r="AD6" s="238" t="s">
        <v>190</v>
      </c>
      <c r="AE6" s="238" t="s">
        <v>229</v>
      </c>
      <c r="AF6" s="504" t="s">
        <v>200</v>
      </c>
      <c r="AG6" s="141" t="s">
        <v>193</v>
      </c>
      <c r="AH6" s="295" t="s">
        <v>109</v>
      </c>
      <c r="AI6" s="305" t="s">
        <v>110</v>
      </c>
      <c r="AJ6" s="433" t="s">
        <v>238</v>
      </c>
      <c r="AK6" s="366" t="s">
        <v>111</v>
      </c>
      <c r="AL6" s="365" t="s">
        <v>192</v>
      </c>
      <c r="AN6" s="238" t="s">
        <v>12</v>
      </c>
      <c r="AO6" s="112" t="s">
        <v>56</v>
      </c>
      <c r="AP6" s="239" t="s">
        <v>241</v>
      </c>
      <c r="AQ6" s="239" t="s">
        <v>16</v>
      </c>
    </row>
    <row r="7" spans="1:43" ht="27" customHeight="1" thickBot="1">
      <c r="A7" s="87">
        <v>1</v>
      </c>
      <c r="B7" s="555"/>
      <c r="C7" s="556"/>
      <c r="D7" s="89"/>
      <c r="E7" s="44"/>
      <c r="F7" s="573" t="s">
        <v>2</v>
      </c>
      <c r="G7" s="475">
        <v>1</v>
      </c>
      <c r="H7" s="182" t="str">
        <f>IF(ISNA(MATCH(G7,$D$7:$D$16,0)),"",INDEX(B$7:$B$16,MATCH(G7,$D$7:$D$16,0)))</f>
        <v/>
      </c>
      <c r="I7" s="125">
        <f>IF(J7=J8,0,IF(J7&lt;J8,2,4))</f>
        <v>0</v>
      </c>
      <c r="J7" s="576"/>
      <c r="K7" s="47"/>
      <c r="L7" s="571">
        <v>3</v>
      </c>
      <c r="M7" s="520" t="str">
        <f>IF(J9=J10,"Gagnant du 2",IF(J9&gt;J10,H9,H10))</f>
        <v>Gagnant du 2</v>
      </c>
      <c r="N7" s="129">
        <f>IF(O6=O7,0,IF(O6&gt;O7,0,2))</f>
        <v>0</v>
      </c>
      <c r="O7" s="577"/>
      <c r="P7" s="47"/>
      <c r="Q7" s="282">
        <v>6</v>
      </c>
      <c r="R7" s="118" t="s">
        <v>105</v>
      </c>
      <c r="S7" s="153">
        <v>0</v>
      </c>
      <c r="T7" s="752"/>
      <c r="U7" s="47"/>
      <c r="V7" s="570" t="s">
        <v>2</v>
      </c>
      <c r="W7" s="528" t="str">
        <f>IF(T6=T7,"Gagnant du 6",IF(T6&gt;T7,R6,R7))</f>
        <v>Gagnant du 3</v>
      </c>
      <c r="X7" s="133">
        <f>IF(Y7=Y8,0,IF(Y7&lt;Y8,0,2))</f>
        <v>0</v>
      </c>
      <c r="Y7" s="576"/>
      <c r="Z7" s="61"/>
      <c r="AA7" s="208">
        <v>1</v>
      </c>
      <c r="AB7" s="297">
        <f>+B7</f>
        <v>0</v>
      </c>
      <c r="AC7" s="298" t="str">
        <f>IF(ISNA(VLOOKUP(AB7,$H$7:$I$16,2,0)),"",VLOOKUP(AB7,$H$7:$I$16,2,0))</f>
        <v/>
      </c>
      <c r="AD7" s="298" t="str">
        <f>IF(ISNA(VLOOKUP(AB7,$M$6:$N$20,2,0)),"",VLOOKUP(AB7,$M$6:$N$20,2,0))</f>
        <v/>
      </c>
      <c r="AE7" s="298" t="str">
        <f>IF(ISNA(VLOOKUP(AB7,$R$6:$S$21,3,0)),"",VLOOKUP(AB7,$R$6:$S$21,2,0))</f>
        <v/>
      </c>
      <c r="AF7" s="300" t="str">
        <f>IF(ISNA(VLOOKUP(AB7,$W$7:$X$21,2,0)),"",VLOOKUP(AB7,$W$7:$X$21,2,0))</f>
        <v/>
      </c>
      <c r="AG7" s="506">
        <f>SUM(AC7:AF7)</f>
        <v>0</v>
      </c>
      <c r="AH7" s="299">
        <f>IF(OR(AB7="",AG7=""),"",RANK(AG7,$AG$7:$AG$16)+COUNTIF(AB$7:AB$16,"&lt;="&amp;AB7+1)/10000+ROW()/100000)</f>
        <v>1.0010699999999999</v>
      </c>
      <c r="AI7" s="649">
        <f>IF(AB7="","",SMALL(AH$7:AH$16,ROWS(AL7:AL$7)))</f>
        <v>1.0010699999999999</v>
      </c>
      <c r="AJ7" s="323">
        <f>IF(AI7="","",1)</f>
        <v>1</v>
      </c>
      <c r="AK7" s="445">
        <f>IF(OR(AB7="",AG7=""),"",INDEX($AB$7:$AB$16,MATCH(AI7,$AH$7:$AH$16,0)))</f>
        <v>0</v>
      </c>
      <c r="AL7" s="446">
        <f>IF(AB7="","",INDEX($AG$7:$AG$16,MATCH(AI7,$AH$7:$AH$16,0)))</f>
        <v>0</v>
      </c>
      <c r="AN7" s="570" t="s">
        <v>115</v>
      </c>
      <c r="AO7" s="491">
        <v>2</v>
      </c>
      <c r="AP7" s="241" t="s">
        <v>322</v>
      </c>
      <c r="AQ7" s="256" t="s">
        <v>323</v>
      </c>
    </row>
    <row r="8" spans="1:43" ht="27" customHeight="1" thickBot="1">
      <c r="A8" s="94">
        <v>2</v>
      </c>
      <c r="B8" s="557"/>
      <c r="C8" s="558"/>
      <c r="D8" s="96"/>
      <c r="E8" s="44"/>
      <c r="F8" s="574">
        <v>1</v>
      </c>
      <c r="G8" s="476">
        <v>2</v>
      </c>
      <c r="H8" s="183" t="str">
        <f>IF(ISNA(MATCH(G8,$D$7:$D$16,0)),"",INDEX(B$7:$B$16,MATCH(G8,$D$7:$D$16,0)))</f>
        <v/>
      </c>
      <c r="I8" s="129">
        <f>IF(J7=J8,0,IF(J7&gt;J8,2,4))</f>
        <v>0</v>
      </c>
      <c r="J8" s="577"/>
      <c r="K8" s="44"/>
      <c r="L8" s="570" t="s">
        <v>2</v>
      </c>
      <c r="M8" s="521" t="str">
        <f>IF(J11=J12,"Gagnant du 3",IF(J11&gt;J12,H11,H12))</f>
        <v>Gagnant du 3</v>
      </c>
      <c r="N8" s="146">
        <f>IF(O8=O9,0,IF(O8&lt;O9,0,2))</f>
        <v>0</v>
      </c>
      <c r="O8" s="576"/>
      <c r="P8" s="44"/>
      <c r="Q8" s="570" t="s">
        <v>2</v>
      </c>
      <c r="R8" s="519" t="str">
        <f>IF(O8=O9,"Gagnant du 5",IF(O8&gt;O9,M8,M9))</f>
        <v>Gagnant du 5</v>
      </c>
      <c r="S8" s="171">
        <f>IF(T8=T9,0,IF(T8&lt;T9,0,2))</f>
        <v>0</v>
      </c>
      <c r="T8" s="576"/>
      <c r="U8" s="44"/>
      <c r="V8" s="571">
        <v>4</v>
      </c>
      <c r="W8" s="520" t="str">
        <f>IF(T8=T9,"Gagnant du 2",IF(T8&gt;T9,R8,R9))</f>
        <v>Gagnant du 2</v>
      </c>
      <c r="X8" s="129">
        <f>IF(Y7=Y8,0,IF(Y7&gt;Y8,0,2))</f>
        <v>0</v>
      </c>
      <c r="Y8" s="577"/>
      <c r="Z8" s="113"/>
      <c r="AA8" s="209">
        <v>2</v>
      </c>
      <c r="AB8" s="332">
        <f t="shared" ref="AB8:AB16" si="0">+B8</f>
        <v>0</v>
      </c>
      <c r="AC8" s="210" t="str">
        <f t="shared" ref="AC8:AC16" si="1">IF(ISNA(VLOOKUP(AB8,$H$7:$I$16,2,0)),"",VLOOKUP(AB8,$H$7:$I$16,2,0))</f>
        <v/>
      </c>
      <c r="AD8" s="210" t="str">
        <f t="shared" ref="AD8:AD16" si="2">IF(ISNA(VLOOKUP(AB8,$M$6:$N$20,2,0)),"",VLOOKUP(AB8,$M$6:$N$20,2,0))</f>
        <v/>
      </c>
      <c r="AE8" s="210" t="str">
        <f t="shared" ref="AE8:AE16" si="3">IF(ISNA(VLOOKUP(AB8,$R$6:$S$21,3,0)),"",VLOOKUP(AB8,$R$6:$S$21,2,0))</f>
        <v/>
      </c>
      <c r="AF8" s="350" t="str">
        <f t="shared" ref="AF8:AF16" si="4">IF(ISNA(VLOOKUP(AB8,$W$7:$X$21,2,0)),"",VLOOKUP(AB8,$W$7:$X$21,2,0))</f>
        <v/>
      </c>
      <c r="AG8" s="507">
        <f t="shared" ref="AG8:AG16" si="5">SUM(AC8:AF8)</f>
        <v>0</v>
      </c>
      <c r="AH8" s="299">
        <f t="shared" ref="AH8:AH16" si="6">IF(OR(AB8="",AG8=""),"",RANK(AG8,$AG$7:$AG$16)+COUNTIF(AB$7:AB$16,"&lt;="&amp;AB8+1)/10000+ROW()/100000)</f>
        <v>1.00108</v>
      </c>
      <c r="AI8" s="649">
        <f>IF(AB8="","",SMALL(AH$7:AH$16,ROWS(AL$7:AL8)))</f>
        <v>1.00108</v>
      </c>
      <c r="AJ8" s="324">
        <f>IF(AI8="","",IF(AND(AL7=AL8),AJ7,$AJ$7+1))</f>
        <v>1</v>
      </c>
      <c r="AK8" s="437">
        <f t="shared" ref="AK8:AK16" si="7">IF(OR(AB8="",AG8=""),"",INDEX($AB$7:$AB$16,MATCH(AI8,$AH$7:$AH$16,0)))</f>
        <v>0</v>
      </c>
      <c r="AL8" s="438">
        <f t="shared" ref="AL8:AL16" si="8">IF(AB8="","",INDEX($AG$7:$AG$16,MATCH(AI8,$AH$7:$AH$16,0)))</f>
        <v>0</v>
      </c>
      <c r="AN8" s="580" t="s">
        <v>15</v>
      </c>
      <c r="AO8" s="492">
        <v>2</v>
      </c>
      <c r="AP8" s="243" t="s">
        <v>243</v>
      </c>
      <c r="AQ8" s="266" t="s">
        <v>311</v>
      </c>
    </row>
    <row r="9" spans="1:43" ht="27" customHeight="1" thickBot="1">
      <c r="A9" s="94">
        <v>3</v>
      </c>
      <c r="B9" s="559"/>
      <c r="C9" s="560"/>
      <c r="D9" s="96"/>
      <c r="E9" s="44"/>
      <c r="F9" s="573" t="s">
        <v>2</v>
      </c>
      <c r="G9" s="475">
        <v>3</v>
      </c>
      <c r="H9" s="184" t="str">
        <f>IF(ISNA(MATCH(G9,$D$7:$D$16,0)),"",INDEX(B$7:$B$16,MATCH(G9,$D$7:$D$16,0)))</f>
        <v/>
      </c>
      <c r="I9" s="125">
        <f>IF(J9=J10,0,IF(J9&lt;J10,2,4))</f>
        <v>0</v>
      </c>
      <c r="J9" s="578"/>
      <c r="K9" s="44"/>
      <c r="L9" s="571">
        <v>5</v>
      </c>
      <c r="M9" s="520" t="str">
        <f>IF(J13=J14,"Gagnant du 4",IF(J13&gt;J14,H13,H14))</f>
        <v>Gagnant du 4</v>
      </c>
      <c r="N9" s="129">
        <f>IF(O8=O9,0,IF(O8&gt;O9,0,2))</f>
        <v>0</v>
      </c>
      <c r="O9" s="577"/>
      <c r="P9" s="44"/>
      <c r="Q9" s="571">
        <v>2</v>
      </c>
      <c r="R9" s="627" t="str">
        <f>IF(O10=O11,"Gagnant du 7",IF(O10&gt;O11,M10,M11))</f>
        <v>Gagnant du 5</v>
      </c>
      <c r="S9" s="129">
        <f>IF(T8=T9,0,IF(T8&gt;T9,0,2))</f>
        <v>0</v>
      </c>
      <c r="T9" s="577"/>
      <c r="U9" s="44"/>
      <c r="V9" s="44"/>
      <c r="W9" s="131"/>
      <c r="X9" s="131"/>
      <c r="Y9" s="44"/>
      <c r="Z9" s="113"/>
      <c r="AA9" s="209">
        <v>3</v>
      </c>
      <c r="AB9" s="332">
        <f t="shared" si="0"/>
        <v>0</v>
      </c>
      <c r="AC9" s="210" t="str">
        <f t="shared" si="1"/>
        <v/>
      </c>
      <c r="AD9" s="210" t="str">
        <f t="shared" si="2"/>
        <v/>
      </c>
      <c r="AE9" s="210" t="str">
        <f t="shared" si="3"/>
        <v/>
      </c>
      <c r="AF9" s="350" t="str">
        <f t="shared" si="4"/>
        <v/>
      </c>
      <c r="AG9" s="507">
        <f t="shared" si="5"/>
        <v>0</v>
      </c>
      <c r="AH9" s="299">
        <f t="shared" si="6"/>
        <v>1.0010899999999998</v>
      </c>
      <c r="AI9" s="649">
        <f>IF(AB9="","",SMALL(AH$7:AH$16,ROWS(AL$7:AL9)))</f>
        <v>1.0010899999999998</v>
      </c>
      <c r="AJ9" s="324">
        <f>IF(AI9="","",IF(AND(AL8=AL9),AJ8,$AJ$7+2))</f>
        <v>1</v>
      </c>
      <c r="AK9" s="437">
        <f t="shared" si="7"/>
        <v>0</v>
      </c>
      <c r="AL9" s="438">
        <f t="shared" si="8"/>
        <v>0</v>
      </c>
      <c r="AN9" s="580" t="s">
        <v>114</v>
      </c>
      <c r="AO9" s="493">
        <v>2</v>
      </c>
      <c r="AP9" s="247" t="s">
        <v>263</v>
      </c>
      <c r="AQ9" s="258" t="s">
        <v>316</v>
      </c>
    </row>
    <row r="10" spans="1:43" ht="27" customHeight="1" thickBot="1">
      <c r="A10" s="94">
        <v>4</v>
      </c>
      <c r="B10" s="557"/>
      <c r="C10" s="558"/>
      <c r="D10" s="96"/>
      <c r="E10" s="44"/>
      <c r="F10" s="574">
        <v>2</v>
      </c>
      <c r="G10" s="476">
        <v>4</v>
      </c>
      <c r="H10" s="185" t="str">
        <f>IF(ISNA(MATCH(G10,$D$7:$D$16,0)),"",INDEX(B$7:$B$16,MATCH(G10,$D$7:$D$16,0)))</f>
        <v/>
      </c>
      <c r="I10" s="129">
        <f>IF(J9=J10,0,IF(J9&gt;J10,2,4))</f>
        <v>0</v>
      </c>
      <c r="J10" s="579"/>
      <c r="K10" s="47"/>
      <c r="L10" s="570" t="s">
        <v>2</v>
      </c>
      <c r="M10" s="528" t="str">
        <f>IF(J15=J16,"Gagnant du 5",IF(J15&gt;J16,H15,H16))</f>
        <v>Gagnant du 5</v>
      </c>
      <c r="N10" s="152">
        <v>1</v>
      </c>
      <c r="O10" s="121">
        <v>1</v>
      </c>
      <c r="P10" s="47"/>
      <c r="Q10" s="44"/>
      <c r="R10" s="131"/>
      <c r="S10" s="131"/>
      <c r="T10" s="44"/>
      <c r="U10" s="47"/>
      <c r="V10" s="44"/>
      <c r="W10" s="131"/>
      <c r="X10" s="131"/>
      <c r="Y10" s="44"/>
      <c r="Z10" s="61"/>
      <c r="AA10" s="209">
        <v>4</v>
      </c>
      <c r="AB10" s="332">
        <f t="shared" si="0"/>
        <v>0</v>
      </c>
      <c r="AC10" s="210" t="str">
        <f t="shared" si="1"/>
        <v/>
      </c>
      <c r="AD10" s="210" t="str">
        <f t="shared" si="2"/>
        <v/>
      </c>
      <c r="AE10" s="210" t="str">
        <f t="shared" si="3"/>
        <v/>
      </c>
      <c r="AF10" s="350" t="str">
        <f t="shared" si="4"/>
        <v/>
      </c>
      <c r="AG10" s="507">
        <f t="shared" si="5"/>
        <v>0</v>
      </c>
      <c r="AH10" s="299">
        <f t="shared" si="6"/>
        <v>1.0010999999999999</v>
      </c>
      <c r="AI10" s="649">
        <f>IF(AB10="","",SMALL(AH$7:AH$16,ROWS(AL$7:AL10)))</f>
        <v>1.0010999999999999</v>
      </c>
      <c r="AJ10" s="324">
        <f>IF(AI10="","",IF(AND(AL9=AL10),AJ9,$AJ$7+3))</f>
        <v>1</v>
      </c>
      <c r="AK10" s="437">
        <f t="shared" si="7"/>
        <v>0</v>
      </c>
      <c r="AL10" s="438">
        <f t="shared" si="8"/>
        <v>0</v>
      </c>
      <c r="AN10" s="660" t="s">
        <v>118</v>
      </c>
      <c r="AO10" s="491">
        <v>2</v>
      </c>
      <c r="AP10" s="245" t="s">
        <v>305</v>
      </c>
      <c r="AQ10" s="256">
        <v>5.5</v>
      </c>
    </row>
    <row r="11" spans="1:43" ht="27" customHeight="1" thickBot="1">
      <c r="A11" s="94">
        <v>5</v>
      </c>
      <c r="B11" s="559"/>
      <c r="C11" s="560"/>
      <c r="D11" s="96"/>
      <c r="E11" s="44"/>
      <c r="F11" s="573" t="s">
        <v>2</v>
      </c>
      <c r="G11" s="475">
        <v>5</v>
      </c>
      <c r="H11" s="184" t="str">
        <f>IF(ISNA(MATCH(G11,$D$7:$D$16,0)),"",INDEX(B$7:$B$16,MATCH(G11,$D$7:$D$16,0)))</f>
        <v/>
      </c>
      <c r="I11" s="125">
        <f>IF(J11=J12,0,IF(J11&lt;J12,2,4))</f>
        <v>0</v>
      </c>
      <c r="J11" s="576"/>
      <c r="K11" s="44"/>
      <c r="L11" s="282">
        <v>7</v>
      </c>
      <c r="M11" s="118" t="s">
        <v>105</v>
      </c>
      <c r="N11" s="153">
        <v>0</v>
      </c>
      <c r="O11" s="752"/>
      <c r="P11" s="44"/>
      <c r="Q11" s="44"/>
      <c r="R11" s="131" t="s">
        <v>51</v>
      </c>
      <c r="S11" s="131"/>
      <c r="T11" s="44"/>
      <c r="U11" s="44"/>
      <c r="V11" s="47"/>
      <c r="W11" s="147"/>
      <c r="X11" s="147"/>
      <c r="Y11" s="47"/>
      <c r="Z11" s="113"/>
      <c r="AA11" s="209">
        <v>5</v>
      </c>
      <c r="AB11" s="332">
        <f t="shared" si="0"/>
        <v>0</v>
      </c>
      <c r="AC11" s="210" t="str">
        <f t="shared" si="1"/>
        <v/>
      </c>
      <c r="AD11" s="210" t="str">
        <f t="shared" si="2"/>
        <v/>
      </c>
      <c r="AE11" s="210" t="str">
        <f t="shared" si="3"/>
        <v/>
      </c>
      <c r="AF11" s="350" t="str">
        <f t="shared" si="4"/>
        <v/>
      </c>
      <c r="AG11" s="507">
        <f t="shared" si="5"/>
        <v>0</v>
      </c>
      <c r="AH11" s="299">
        <f t="shared" si="6"/>
        <v>1.0011099999999999</v>
      </c>
      <c r="AI11" s="649">
        <f>IF(AB11="","",SMALL(AH$7:AH$16,ROWS(AL$7:AL11)))</f>
        <v>1.0011099999999999</v>
      </c>
      <c r="AJ11" s="324">
        <f>IF(AI11="","",IF(AND(AL10=AL11),AJ10,$AJ$7+4))</f>
        <v>1</v>
      </c>
      <c r="AK11" s="437">
        <f t="shared" si="7"/>
        <v>0</v>
      </c>
      <c r="AL11" s="438">
        <f t="shared" si="8"/>
        <v>0</v>
      </c>
      <c r="AN11" s="661" t="s">
        <v>20</v>
      </c>
      <c r="AO11" s="493">
        <v>2</v>
      </c>
      <c r="AP11" s="247" t="s">
        <v>274</v>
      </c>
      <c r="AQ11" s="266">
        <v>4.5</v>
      </c>
    </row>
    <row r="12" spans="1:43" ht="27" customHeight="1" thickBot="1">
      <c r="A12" s="94">
        <v>6</v>
      </c>
      <c r="B12" s="557"/>
      <c r="C12" s="558"/>
      <c r="D12" s="96"/>
      <c r="E12" s="44"/>
      <c r="F12" s="574">
        <v>3</v>
      </c>
      <c r="G12" s="476">
        <v>6</v>
      </c>
      <c r="H12" s="185" t="str">
        <f>IF(ISNA(MATCH(G12,$D$7:$D$16,0)),"",INDEX(B$7:$B$16,MATCH(G12,$D$7:$D$16,0)))</f>
        <v/>
      </c>
      <c r="I12" s="129">
        <f>IF(J11=J12,0,IF(J11&gt;J12,2,4))</f>
        <v>0</v>
      </c>
      <c r="J12" s="577"/>
      <c r="K12" s="44"/>
      <c r="M12" s="722" t="s">
        <v>232</v>
      </c>
      <c r="N12" s="192"/>
      <c r="P12" s="44"/>
      <c r="Q12" s="522" t="s">
        <v>2</v>
      </c>
      <c r="R12" s="528" t="str">
        <f>IF(O15=O16,"Gagnant du 8",IF(O15&gt;O16,M15,M16))</f>
        <v>Gagnant du 8</v>
      </c>
      <c r="S12" s="152">
        <v>0.5</v>
      </c>
      <c r="T12" s="121">
        <v>1</v>
      </c>
      <c r="U12" s="44"/>
      <c r="V12" s="44"/>
      <c r="W12" s="131" t="s">
        <v>10</v>
      </c>
      <c r="X12" s="167"/>
      <c r="Y12" s="44"/>
      <c r="Z12" s="61"/>
      <c r="AA12" s="209">
        <v>6</v>
      </c>
      <c r="AB12" s="332">
        <f t="shared" si="0"/>
        <v>0</v>
      </c>
      <c r="AC12" s="210" t="str">
        <f t="shared" si="1"/>
        <v/>
      </c>
      <c r="AD12" s="210" t="str">
        <f t="shared" si="2"/>
        <v/>
      </c>
      <c r="AE12" s="210" t="str">
        <f t="shared" si="3"/>
        <v/>
      </c>
      <c r="AF12" s="350" t="str">
        <f t="shared" si="4"/>
        <v/>
      </c>
      <c r="AG12" s="507">
        <f t="shared" si="5"/>
        <v>0</v>
      </c>
      <c r="AH12" s="299">
        <f t="shared" si="6"/>
        <v>1.0011199999999998</v>
      </c>
      <c r="AI12" s="649">
        <f>IF(AB12="","",SMALL(AH$7:AH$16,ROWS(AL$7:AL12)))</f>
        <v>1.0011199999999998</v>
      </c>
      <c r="AJ12" s="324">
        <f>IF(AI12="","",IF(AND(AL11=AL12),AJ11,$AJ$7+5))</f>
        <v>1</v>
      </c>
      <c r="AK12" s="437">
        <f t="shared" si="7"/>
        <v>0</v>
      </c>
      <c r="AL12" s="438">
        <f t="shared" si="8"/>
        <v>0</v>
      </c>
      <c r="AN12" s="663" t="s">
        <v>117</v>
      </c>
      <c r="AO12" s="503">
        <v>2</v>
      </c>
      <c r="AP12" s="245" t="s">
        <v>306</v>
      </c>
      <c r="AQ12" s="256" t="s">
        <v>324</v>
      </c>
    </row>
    <row r="13" spans="1:43" ht="27" customHeight="1" thickBot="1">
      <c r="A13" s="94">
        <v>7</v>
      </c>
      <c r="B13" s="559"/>
      <c r="C13" s="560"/>
      <c r="D13" s="96"/>
      <c r="E13" s="44"/>
      <c r="F13" s="573" t="s">
        <v>2</v>
      </c>
      <c r="G13" s="475">
        <v>7</v>
      </c>
      <c r="H13" s="184" t="str">
        <f>IF(ISNA(MATCH(G13,$D$7:$D$16,0)),"",INDEX(B$7:$B$16,MATCH(G13,$D$7:$D$16,0)))</f>
        <v/>
      </c>
      <c r="I13" s="125">
        <f>IF(J13=J14,0,IF(J13&lt;J14,2,4))</f>
        <v>0</v>
      </c>
      <c r="J13" s="578"/>
      <c r="K13" s="44"/>
      <c r="M13" s="655"/>
      <c r="N13" s="192"/>
      <c r="P13" s="44"/>
      <c r="Q13" s="282">
        <v>5</v>
      </c>
      <c r="R13" s="118" t="s">
        <v>105</v>
      </c>
      <c r="S13" s="153">
        <v>0</v>
      </c>
      <c r="T13" s="752"/>
      <c r="U13" s="44"/>
      <c r="V13" s="522" t="s">
        <v>2</v>
      </c>
      <c r="W13" s="528" t="str">
        <f>IF(T14=T15,"Gagnant du 3",IF(T14&gt;T15,R14,R15))</f>
        <v>Gagnant du 3</v>
      </c>
      <c r="X13" s="146">
        <f>IF(Y13=Y14,0,IF(Y13&lt;Y14,0,1))</f>
        <v>0</v>
      </c>
      <c r="Y13" s="631"/>
      <c r="Z13" s="61"/>
      <c r="AA13" s="209">
        <v>7</v>
      </c>
      <c r="AB13" s="332">
        <f t="shared" si="0"/>
        <v>0</v>
      </c>
      <c r="AC13" s="210" t="str">
        <f t="shared" si="1"/>
        <v/>
      </c>
      <c r="AD13" s="210" t="str">
        <f t="shared" si="2"/>
        <v/>
      </c>
      <c r="AE13" s="210" t="str">
        <f t="shared" si="3"/>
        <v/>
      </c>
      <c r="AF13" s="350" t="str">
        <f t="shared" si="4"/>
        <v/>
      </c>
      <c r="AG13" s="507">
        <f t="shared" si="5"/>
        <v>0</v>
      </c>
      <c r="AH13" s="299">
        <f t="shared" si="6"/>
        <v>1.0011299999999999</v>
      </c>
      <c r="AI13" s="649">
        <f>IF(AB13="","",SMALL(AH$7:AH$16,ROWS(AL$7:AL13)))</f>
        <v>1.0011299999999999</v>
      </c>
      <c r="AJ13" s="324">
        <f>IF(AI13="","",IF(AND(AL12=AL13),AJ12,$AJ$7+6))</f>
        <v>1</v>
      </c>
      <c r="AK13" s="437">
        <f t="shared" si="7"/>
        <v>0</v>
      </c>
      <c r="AL13" s="438">
        <f t="shared" si="8"/>
        <v>0</v>
      </c>
      <c r="AN13" s="664" t="s">
        <v>18</v>
      </c>
      <c r="AO13" s="492">
        <v>2</v>
      </c>
      <c r="AP13" s="243" t="s">
        <v>270</v>
      </c>
      <c r="AQ13" s="458" t="s">
        <v>325</v>
      </c>
    </row>
    <row r="14" spans="1:43" ht="27" customHeight="1" thickBot="1">
      <c r="A14" s="94">
        <v>8</v>
      </c>
      <c r="B14" s="557"/>
      <c r="C14" s="558"/>
      <c r="D14" s="96"/>
      <c r="E14" s="44"/>
      <c r="F14" s="574">
        <v>4</v>
      </c>
      <c r="G14" s="476">
        <v>8</v>
      </c>
      <c r="H14" s="185" t="str">
        <f>IF(ISNA(MATCH(G14,$D$7:$D$16,0)),"",INDEX(B$7:$B$16,MATCH(G14,$D$7:$D$16,0)))</f>
        <v/>
      </c>
      <c r="I14" s="129">
        <f>IF(J13=J14,0,IF(J13&gt;J14,2,4))</f>
        <v>0</v>
      </c>
      <c r="J14" s="579"/>
      <c r="K14" s="44"/>
      <c r="L14" s="44"/>
      <c r="M14" s="131" t="s">
        <v>7</v>
      </c>
      <c r="N14" s="167"/>
      <c r="O14" s="195"/>
      <c r="P14" s="44"/>
      <c r="Q14" s="522" t="s">
        <v>2</v>
      </c>
      <c r="R14" s="528" t="str">
        <f>IF(O17=O18,"Gagnant du 2",IF(O17&gt;O18,M17,M18))</f>
        <v>Gagnant du 2</v>
      </c>
      <c r="S14" s="133">
        <f>IF(T14=T15,0,IF(T14&lt;T15,0,1))</f>
        <v>0</v>
      </c>
      <c r="T14" s="631"/>
      <c r="U14" s="44"/>
      <c r="V14" s="524">
        <v>1</v>
      </c>
      <c r="W14" s="520" t="str">
        <f>IF(T12=T13,"Gagnant du 5",IF(T12&gt;T13,R12,R13))</f>
        <v>Gagnant du 8</v>
      </c>
      <c r="X14" s="129">
        <f>IF(Y13=Y14,0,IF(Y13&gt;Y14,0,1))</f>
        <v>0</v>
      </c>
      <c r="Y14" s="632"/>
      <c r="Z14" s="113"/>
      <c r="AA14" s="209">
        <v>8</v>
      </c>
      <c r="AB14" s="332">
        <f t="shared" si="0"/>
        <v>0</v>
      </c>
      <c r="AC14" s="210" t="str">
        <f t="shared" si="1"/>
        <v/>
      </c>
      <c r="AD14" s="210" t="str">
        <f t="shared" si="2"/>
        <v/>
      </c>
      <c r="AE14" s="210" t="str">
        <f t="shared" si="3"/>
        <v/>
      </c>
      <c r="AF14" s="350" t="str">
        <f t="shared" si="4"/>
        <v/>
      </c>
      <c r="AG14" s="507">
        <f t="shared" si="5"/>
        <v>0</v>
      </c>
      <c r="AH14" s="299">
        <f t="shared" si="6"/>
        <v>1.0011399999999999</v>
      </c>
      <c r="AI14" s="649">
        <f>IF(AB14="","",SMALL(AH$7:AH$16,ROWS(AL$7:AL14)))</f>
        <v>1.0011399999999999</v>
      </c>
      <c r="AJ14" s="324">
        <f>IF(AI14="","",IF(AND(AL13=AL14),AJ13,$AJ$7+7))</f>
        <v>1</v>
      </c>
      <c r="AK14" s="437">
        <f t="shared" si="7"/>
        <v>0</v>
      </c>
      <c r="AL14" s="438">
        <f t="shared" si="8"/>
        <v>0</v>
      </c>
      <c r="AN14" s="665" t="s">
        <v>64</v>
      </c>
      <c r="AO14" s="497">
        <v>2</v>
      </c>
      <c r="AP14" s="247" t="s">
        <v>307</v>
      </c>
      <c r="AQ14" s="258" t="s">
        <v>320</v>
      </c>
    </row>
    <row r="15" spans="1:43" ht="27" customHeight="1" thickBot="1">
      <c r="A15" s="94">
        <v>9</v>
      </c>
      <c r="B15" s="559"/>
      <c r="C15" s="560"/>
      <c r="D15" s="96"/>
      <c r="E15" s="44"/>
      <c r="F15" s="573" t="s">
        <v>2</v>
      </c>
      <c r="G15" s="475">
        <v>9</v>
      </c>
      <c r="H15" s="184" t="str">
        <f>IF(ISNA(MATCH(G15,$D$7:$D$16,0)),"",INDEX(B$7:$B$16,MATCH(G15,$D$7:$D$16,0)))</f>
        <v/>
      </c>
      <c r="I15" s="125">
        <f>IF(J15=J16,0,IF(J15&lt;J16,2,4))</f>
        <v>0</v>
      </c>
      <c r="J15" s="576"/>
      <c r="K15" s="44"/>
      <c r="L15" s="522" t="s">
        <v>2</v>
      </c>
      <c r="M15" s="528" t="str">
        <f>IF(J7=J8,"Perdant du 1",IF(J7&lt;J8,H7,H8))</f>
        <v>Perdant du 1</v>
      </c>
      <c r="N15" s="171">
        <f>IF(O15=O16,0,IF(O15&lt;O16,0,1))</f>
        <v>0</v>
      </c>
      <c r="O15" s="635"/>
      <c r="P15" s="44"/>
      <c r="Q15" s="524">
        <v>3</v>
      </c>
      <c r="R15" s="531" t="str">
        <f>IF(O19=O20,"Gagnant du 4",IF(O19&gt;O20,M19,M20))</f>
        <v>Perdant du 5</v>
      </c>
      <c r="S15" s="129">
        <f>IF(T14=T15,0,IF(T14&gt;T15,0,1))</f>
        <v>0</v>
      </c>
      <c r="T15" s="632"/>
      <c r="U15" s="44"/>
      <c r="V15" s="44"/>
      <c r="W15" s="131"/>
      <c r="X15" s="131"/>
      <c r="Y15" s="44"/>
      <c r="Z15" s="113"/>
      <c r="AA15" s="209">
        <v>9</v>
      </c>
      <c r="AB15" s="332">
        <f t="shared" si="0"/>
        <v>0</v>
      </c>
      <c r="AC15" s="210" t="str">
        <f t="shared" si="1"/>
        <v/>
      </c>
      <c r="AD15" s="210" t="str">
        <f t="shared" si="2"/>
        <v/>
      </c>
      <c r="AE15" s="210" t="str">
        <f t="shared" si="3"/>
        <v/>
      </c>
      <c r="AF15" s="350" t="str">
        <f t="shared" si="4"/>
        <v/>
      </c>
      <c r="AG15" s="507">
        <f t="shared" si="5"/>
        <v>0</v>
      </c>
      <c r="AH15" s="299">
        <f t="shared" si="6"/>
        <v>1.00115</v>
      </c>
      <c r="AI15" s="649">
        <f>IF(AB15="","",SMALL(AH$7:AH$16,ROWS(AL$7:AL15)))</f>
        <v>1.00115</v>
      </c>
      <c r="AJ15" s="324">
        <f>IF(AI15="","",IF(AND(AL14=AL15),AJ14,$AJ$7+8))</f>
        <v>1</v>
      </c>
      <c r="AK15" s="437">
        <f t="shared" si="7"/>
        <v>0</v>
      </c>
      <c r="AL15" s="438">
        <f t="shared" si="8"/>
        <v>0</v>
      </c>
      <c r="AN15" s="265" t="s">
        <v>116</v>
      </c>
      <c r="AO15" s="498">
        <v>2</v>
      </c>
      <c r="AP15" s="241" t="s">
        <v>246</v>
      </c>
      <c r="AQ15" s="136">
        <f t="shared" ref="AQ15:AQ16" si="9">SUM(AO15:AP15)</f>
        <v>2</v>
      </c>
    </row>
    <row r="16" spans="1:43" ht="27" customHeight="1" thickBot="1">
      <c r="A16" s="110">
        <v>10</v>
      </c>
      <c r="B16" s="592"/>
      <c r="C16" s="588"/>
      <c r="D16" s="111"/>
      <c r="E16" s="44"/>
      <c r="F16" s="574">
        <v>5</v>
      </c>
      <c r="G16" s="476">
        <v>10</v>
      </c>
      <c r="H16" s="185" t="str">
        <f>IF(ISNA(MATCH(G16,$D$7:$D$16,0)),"",INDEX(B$7:$B$16,MATCH(G16,$D$7:$D$16,0)))</f>
        <v/>
      </c>
      <c r="I16" s="129">
        <f>IF(J15=J16,0,IF(J15&gt;J16,2,4))</f>
        <v>0</v>
      </c>
      <c r="J16" s="577"/>
      <c r="K16" s="44"/>
      <c r="L16" s="524">
        <v>8</v>
      </c>
      <c r="M16" s="521" t="str">
        <f>IF(J9=J10,"Perdant du 2",IF(J9&lt;J10,H9,H10))</f>
        <v>Perdant du 2</v>
      </c>
      <c r="N16" s="129">
        <f>IF(O15=O16,0,IF(O15&gt;O16,0,1))</f>
        <v>0</v>
      </c>
      <c r="O16" s="632"/>
      <c r="P16" s="44"/>
      <c r="Q16" s="44"/>
      <c r="R16" s="131"/>
      <c r="S16" s="131"/>
      <c r="T16" s="44"/>
      <c r="U16" s="44"/>
      <c r="V16" s="44"/>
      <c r="W16" s="131"/>
      <c r="X16" s="131"/>
      <c r="Y16" s="44"/>
      <c r="Z16" s="113"/>
      <c r="AA16" s="212">
        <v>10</v>
      </c>
      <c r="AB16" s="333">
        <f t="shared" si="0"/>
        <v>0</v>
      </c>
      <c r="AC16" s="236" t="str">
        <f t="shared" si="1"/>
        <v/>
      </c>
      <c r="AD16" s="236" t="str">
        <f t="shared" si="2"/>
        <v/>
      </c>
      <c r="AE16" s="236" t="str">
        <f t="shared" si="3"/>
        <v/>
      </c>
      <c r="AF16" s="313" t="str">
        <f t="shared" si="4"/>
        <v/>
      </c>
      <c r="AG16" s="508">
        <f t="shared" si="5"/>
        <v>0</v>
      </c>
      <c r="AH16" s="336">
        <f t="shared" si="6"/>
        <v>1.0011599999999998</v>
      </c>
      <c r="AI16" s="650">
        <f>IF(AB16="","",SMALL(AH$7:AH$16,ROWS(AL$7:AL16)))</f>
        <v>1.0011599999999998</v>
      </c>
      <c r="AJ16" s="325">
        <f>IF(AI16="","",IF(AND(AL15=AL16),AJ15,$AJ$7+9))</f>
        <v>1</v>
      </c>
      <c r="AK16" s="447">
        <f t="shared" si="7"/>
        <v>0</v>
      </c>
      <c r="AL16" s="448">
        <f t="shared" si="8"/>
        <v>0</v>
      </c>
      <c r="AN16" s="257" t="s">
        <v>116</v>
      </c>
      <c r="AO16" s="500">
        <v>2</v>
      </c>
      <c r="AP16" s="247" t="s">
        <v>246</v>
      </c>
      <c r="AQ16" s="138">
        <f t="shared" si="9"/>
        <v>2</v>
      </c>
    </row>
    <row r="17" spans="1:46" ht="27" customHeight="1" thickBot="1">
      <c r="E17" s="44"/>
      <c r="K17" s="44"/>
      <c r="L17" s="522" t="s">
        <v>2</v>
      </c>
      <c r="M17" s="528" t="str">
        <f>IF(J11=J12,"Perdant du 3",IF(J11&lt;J12,H11,H12))</f>
        <v>Perdant du 3</v>
      </c>
      <c r="N17" s="146">
        <f>IF(O17=O18,0,IF(O17&lt;O18,0,1))</f>
        <v>0</v>
      </c>
      <c r="O17" s="631"/>
      <c r="P17" s="44"/>
      <c r="Q17" s="44"/>
      <c r="R17" s="131" t="s">
        <v>53</v>
      </c>
      <c r="S17" s="131"/>
      <c r="T17" s="44"/>
      <c r="U17" s="44"/>
      <c r="V17" s="44"/>
      <c r="W17" s="131"/>
      <c r="X17" s="131"/>
      <c r="Y17" s="44"/>
      <c r="Z17" s="113"/>
      <c r="AC17" s="161">
        <f>SUM(AC7:AC16)</f>
        <v>0</v>
      </c>
      <c r="AD17" s="161">
        <f>SUM(AD7:AD16)</f>
        <v>0</v>
      </c>
      <c r="AE17" s="161">
        <f>SUM(AE7:AE16)</f>
        <v>0</v>
      </c>
      <c r="AF17" s="161">
        <f>SUM(AF7:AF16)</f>
        <v>0</v>
      </c>
      <c r="AG17" s="161">
        <f>SUM(AG7:AG16)</f>
        <v>0</v>
      </c>
      <c r="AN17" s="61"/>
    </row>
    <row r="18" spans="1:46" ht="27" customHeight="1" thickBot="1">
      <c r="E18" s="44"/>
      <c r="H18" s="144" t="s">
        <v>232</v>
      </c>
      <c r="K18" s="44"/>
      <c r="L18" s="524">
        <v>2</v>
      </c>
      <c r="M18" s="521" t="str">
        <f>IF(J13=J14,"Perdant du 4",IF(J13&lt;J14,H13,H14))</f>
        <v>Perdant du 4</v>
      </c>
      <c r="N18" s="129">
        <f>IF(O17=O18,0,IF(O17&gt;O18,0,1))</f>
        <v>0</v>
      </c>
      <c r="O18" s="632"/>
      <c r="P18" s="44"/>
      <c r="Q18" s="483" t="s">
        <v>2</v>
      </c>
      <c r="R18" s="528" t="str">
        <f>IF(O6=O7,"Perdant du 3",IF(O6&lt;O7,M6,M7))</f>
        <v>Perdant du 3</v>
      </c>
      <c r="S18" s="152">
        <v>0.5</v>
      </c>
      <c r="T18" s="121">
        <v>1</v>
      </c>
      <c r="U18" s="44"/>
      <c r="W18" s="197"/>
      <c r="X18" s="167"/>
      <c r="Z18" s="61"/>
      <c r="AM18" s="249"/>
    </row>
    <row r="19" spans="1:46" ht="27" customHeight="1" thickBot="1">
      <c r="B19" s="351" t="s">
        <v>130</v>
      </c>
      <c r="E19" s="44"/>
      <c r="K19" s="44"/>
      <c r="L19" s="522" t="s">
        <v>2</v>
      </c>
      <c r="M19" s="528" t="str">
        <f>IF(J15=J16,"Perdant du 5",IF(J15&lt;J16,H15,H16))</f>
        <v>Perdant du 5</v>
      </c>
      <c r="N19" s="152">
        <v>0.5</v>
      </c>
      <c r="O19" s="121">
        <v>1</v>
      </c>
      <c r="P19" s="44"/>
      <c r="Q19" s="282">
        <v>4</v>
      </c>
      <c r="R19" s="118" t="s">
        <v>105</v>
      </c>
      <c r="S19" s="153">
        <v>0</v>
      </c>
      <c r="T19" s="752"/>
      <c r="U19" s="44"/>
      <c r="V19" s="483" t="s">
        <v>2</v>
      </c>
      <c r="W19" s="595" t="str">
        <f>IF(T18=T19,"Gagnant du 4",IF(T18&gt;T19,R18,R19))</f>
        <v>Perdant du 3</v>
      </c>
      <c r="X19" s="146">
        <f>IF(Y19=Y20,0,IF(Y19&lt;Y20,0,1))</f>
        <v>0</v>
      </c>
      <c r="Y19" s="511"/>
      <c r="Z19" s="61"/>
      <c r="AM19" s="249"/>
    </row>
    <row r="20" spans="1:46" ht="27" customHeight="1" thickBot="1">
      <c r="B20" s="434" t="s">
        <v>45</v>
      </c>
      <c r="C20" s="44"/>
      <c r="D20" s="44"/>
      <c r="E20" s="44"/>
      <c r="F20" s="44"/>
      <c r="K20" s="44"/>
      <c r="L20" s="282">
        <v>4</v>
      </c>
      <c r="M20" s="118" t="s">
        <v>105</v>
      </c>
      <c r="N20" s="153">
        <v>0</v>
      </c>
      <c r="O20" s="752"/>
      <c r="P20" s="44"/>
      <c r="Q20" s="483" t="s">
        <v>2</v>
      </c>
      <c r="R20" s="528" t="str">
        <f>IF(O8=O9,"Perdant du 5",IF(O8&lt;O9,M8,M9))</f>
        <v>Perdant du 5</v>
      </c>
      <c r="S20" s="152">
        <v>0.5</v>
      </c>
      <c r="T20" s="121">
        <v>1</v>
      </c>
      <c r="U20" s="44"/>
      <c r="V20" s="484">
        <v>6</v>
      </c>
      <c r="W20" s="531" t="str">
        <f>IF(T20=T21,"Gagnant du 8",IF(T20&gt;T21,R20,R21))</f>
        <v>Perdant du 5</v>
      </c>
      <c r="X20" s="129">
        <f>IF(Y19=Y20,0,IF(Y19&gt;Y20,0,1))</f>
        <v>0</v>
      </c>
      <c r="Y20" s="512"/>
      <c r="Z20" s="113"/>
    </row>
    <row r="21" spans="1:46" ht="27" customHeight="1" thickBot="1">
      <c r="C21" s="44"/>
      <c r="E21" s="44"/>
      <c r="F21" s="47"/>
      <c r="G21" s="44"/>
      <c r="K21" s="44"/>
      <c r="M21" s="144"/>
      <c r="P21" s="44"/>
      <c r="Q21" s="282">
        <v>8</v>
      </c>
      <c r="R21" s="118" t="s">
        <v>105</v>
      </c>
      <c r="S21" s="153">
        <v>0</v>
      </c>
      <c r="T21" s="752"/>
      <c r="U21" s="44"/>
      <c r="V21" s="44"/>
      <c r="W21" s="44"/>
      <c r="X21" s="44"/>
      <c r="Y21" s="44"/>
      <c r="Z21" s="113"/>
      <c r="AN21" s="113"/>
    </row>
    <row r="22" spans="1:46" ht="23.25" customHeight="1" thickBot="1">
      <c r="B22" s="61"/>
      <c r="C22" s="44"/>
      <c r="D22" s="44"/>
      <c r="E22" s="44"/>
      <c r="F22" s="47"/>
      <c r="G22" s="44"/>
      <c r="H22" s="44"/>
      <c r="K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113"/>
      <c r="AN22" s="162"/>
      <c r="AQ22"/>
    </row>
    <row r="23" spans="1:46" ht="24" customHeight="1" thickBot="1">
      <c r="A23" s="44"/>
      <c r="B23" s="162"/>
      <c r="C23" s="44"/>
      <c r="D23" s="44"/>
      <c r="E23" s="44"/>
      <c r="F23" s="44"/>
      <c r="G23" s="47"/>
      <c r="H23" s="47"/>
      <c r="I23" s="135">
        <f>SUM(I7:I16)</f>
        <v>0</v>
      </c>
      <c r="J23" s="252"/>
      <c r="K23" s="201"/>
      <c r="L23" s="135"/>
      <c r="M23" s="274"/>
      <c r="N23" s="131">
        <f>SUM(N6:N20)</f>
        <v>1.5</v>
      </c>
      <c r="O23" s="135"/>
      <c r="P23" s="201"/>
      <c r="Q23" s="135"/>
      <c r="R23" s="135"/>
      <c r="S23" s="135">
        <f>SUM(S6:S21)</f>
        <v>2.5</v>
      </c>
      <c r="T23" s="135"/>
      <c r="U23" s="201"/>
      <c r="V23" s="135"/>
      <c r="W23" s="135"/>
      <c r="X23" s="135">
        <f>SUM(X7:X20)</f>
        <v>0</v>
      </c>
      <c r="Y23" s="135"/>
      <c r="Z23" s="201"/>
      <c r="AA23" s="201"/>
      <c r="AB23" s="131"/>
      <c r="AC23" s="131"/>
      <c r="AD23" s="131"/>
      <c r="AE23" s="131"/>
      <c r="AF23" s="131"/>
      <c r="AG23" s="131"/>
      <c r="AH23" s="131"/>
      <c r="AI23" s="131"/>
      <c r="AJ23" s="131"/>
      <c r="AK23" s="271">
        <f>SUM(I23:Z23)</f>
        <v>4</v>
      </c>
      <c r="AL23" s="359">
        <f>SUM(AL7:AL17)</f>
        <v>0</v>
      </c>
      <c r="AP23" s="162"/>
    </row>
    <row r="24" spans="1:46" ht="16.5" customHeight="1">
      <c r="A24" s="44"/>
      <c r="H24" s="44"/>
      <c r="I24" s="44"/>
      <c r="J24" s="44"/>
      <c r="L24" s="44"/>
      <c r="AH24" s="113"/>
      <c r="AI24" s="113"/>
      <c r="AJ24" s="113"/>
      <c r="AK24" s="113"/>
      <c r="AL24" s="113"/>
      <c r="AM24" s="113"/>
      <c r="AQ24" s="162"/>
    </row>
    <row r="25" spans="1:46" ht="15.75" customHeight="1">
      <c r="A25" s="44"/>
      <c r="I25" s="44">
        <v>30</v>
      </c>
      <c r="J25" s="44"/>
      <c r="K25" s="44"/>
      <c r="L25" s="44"/>
      <c r="M25" s="44"/>
      <c r="N25" s="44">
        <v>7.5</v>
      </c>
      <c r="O25" s="44"/>
      <c r="P25" s="44"/>
      <c r="Q25" s="44"/>
      <c r="R25" s="44"/>
      <c r="S25" s="44">
        <v>5.5</v>
      </c>
      <c r="T25" s="44"/>
      <c r="U25" s="44"/>
      <c r="V25" s="44"/>
      <c r="W25" s="44"/>
      <c r="X25" s="44">
        <v>4</v>
      </c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>
        <f>SUM(I25:Y25)</f>
        <v>47</v>
      </c>
      <c r="AL25" s="44">
        <v>47</v>
      </c>
      <c r="AM25" s="162"/>
      <c r="AR25" s="162"/>
      <c r="AS25" s="162"/>
      <c r="AT25" s="162"/>
    </row>
    <row r="26" spans="1:46" ht="24.75" customHeight="1">
      <c r="A26" s="44"/>
    </row>
    <row r="27" spans="1:46" ht="15.75" customHeight="1"/>
    <row r="28" spans="1:46" ht="24.75" customHeight="1">
      <c r="AB28"/>
      <c r="AC28"/>
      <c r="AD28"/>
      <c r="AE28"/>
    </row>
    <row r="29" spans="1:46" ht="15.75" customHeight="1">
      <c r="AB29"/>
      <c r="AC29"/>
      <c r="AD29"/>
      <c r="AE29"/>
    </row>
    <row r="30" spans="1:46" ht="18" customHeight="1">
      <c r="AB30"/>
      <c r="AC30"/>
      <c r="AD30"/>
      <c r="AE30"/>
    </row>
    <row r="31" spans="1:46" ht="15.75" customHeight="1">
      <c r="AB31"/>
      <c r="AC31"/>
      <c r="AD31"/>
      <c r="AE31"/>
    </row>
    <row r="32" spans="1:46" ht="27" customHeight="1">
      <c r="B32" s="44"/>
      <c r="C32" s="44" t="s">
        <v>41</v>
      </c>
      <c r="D32" s="44"/>
      <c r="AB32"/>
      <c r="AC32"/>
      <c r="AD32"/>
      <c r="AE32"/>
    </row>
    <row r="33" spans="2:31" ht="27" customHeight="1">
      <c r="B33" s="144" t="s">
        <v>42</v>
      </c>
      <c r="C33" s="214" t="s">
        <v>101</v>
      </c>
      <c r="D33" s="44"/>
      <c r="AB33"/>
      <c r="AC33"/>
      <c r="AD33"/>
      <c r="AE33"/>
    </row>
    <row r="34" spans="2:31" ht="27" customHeight="1">
      <c r="B34" s="145" t="s">
        <v>43</v>
      </c>
      <c r="C34" s="214" t="s">
        <v>102</v>
      </c>
      <c r="D34" s="41"/>
    </row>
    <row r="35" spans="2:31" ht="27" customHeight="1"/>
    <row r="36" spans="2:31" ht="27" customHeight="1"/>
    <row r="37" spans="2:31" ht="27" customHeight="1"/>
    <row r="38" spans="2:31" ht="27" customHeight="1"/>
    <row r="39" spans="2:31" ht="27" customHeight="1"/>
    <row r="40" spans="2:31" ht="27" customHeight="1"/>
    <row r="41" spans="2:31" ht="27" customHeight="1"/>
    <row r="42" spans="2:31" ht="27" customHeight="1"/>
    <row r="43" spans="2:31" ht="27" customHeight="1"/>
    <row r="44" spans="2:31" ht="27" customHeight="1"/>
    <row r="45" spans="2:31" ht="27" customHeight="1"/>
    <row r="46" spans="2:31" ht="27" customHeight="1"/>
    <row r="47" spans="2:31" ht="15.75" customHeight="1"/>
    <row r="48" spans="2:31" ht="24" customHeight="1"/>
    <row r="49" ht="24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5:AL5"/>
    <mergeCell ref="AO5:AQ5"/>
  </mergeCells>
  <conditionalFormatting sqref="AJ7:AJ16">
    <cfRule type="duplicateValues" dxfId="13" priority="1"/>
  </conditionalFormatting>
  <pageMargins left="0.15748031496062992" right="0.25" top="0.26" bottom="0.37" header="0.14000000000000001" footer="0.25"/>
  <pageSetup orientation="landscape" horizontalDpi="4294967292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AT49"/>
  <sheetViews>
    <sheetView zoomScale="60" zoomScaleNormal="60" workbookViewId="0">
      <selection activeCell="H28" sqref="H28"/>
    </sheetView>
  </sheetViews>
  <sheetFormatPr baseColWidth="10" defaultRowHeight="15"/>
  <cols>
    <col min="1" max="1" width="5.85546875" style="45" customWidth="1"/>
    <col min="2" max="2" width="29.42578125" style="45" customWidth="1"/>
    <col min="3" max="3" width="22.5703125" style="45" customWidth="1"/>
    <col min="4" max="4" width="9.140625" style="45" customWidth="1"/>
    <col min="5" max="5" width="4.28515625" style="45" customWidth="1"/>
    <col min="6" max="6" width="8.42578125" style="45" customWidth="1"/>
    <col min="7" max="7" width="7.5703125" style="45" hidden="1" customWidth="1"/>
    <col min="8" max="8" width="27.28515625" style="45" customWidth="1"/>
    <col min="9" max="9" width="8" style="45" hidden="1" customWidth="1"/>
    <col min="10" max="10" width="6.85546875" style="45" customWidth="1"/>
    <col min="11" max="11" width="6.42578125" style="45" customWidth="1"/>
    <col min="12" max="12" width="8.140625" style="45" customWidth="1"/>
    <col min="13" max="13" width="26.42578125" style="45" customWidth="1"/>
    <col min="14" max="14" width="10.7109375" style="45" hidden="1" customWidth="1"/>
    <col min="15" max="15" width="9.5703125" style="45" customWidth="1"/>
    <col min="16" max="16" width="9.85546875" style="45" customWidth="1"/>
    <col min="17" max="17" width="8.140625" style="45" customWidth="1"/>
    <col min="18" max="18" width="25.85546875" style="45" customWidth="1"/>
    <col min="19" max="19" width="9.5703125" style="45" hidden="1" customWidth="1"/>
    <col min="20" max="20" width="9.42578125" style="45" customWidth="1"/>
    <col min="21" max="21" width="8.42578125" style="45" customWidth="1"/>
    <col min="22" max="22" width="8.28515625" style="45" customWidth="1"/>
    <col min="23" max="23" width="27.140625" style="45" customWidth="1"/>
    <col min="24" max="24" width="9.5703125" style="45" hidden="1" customWidth="1"/>
    <col min="25" max="25" width="7.5703125" style="45" bestFit="1" customWidth="1"/>
    <col min="26" max="26" width="6.28515625" style="45" customWidth="1"/>
    <col min="27" max="27" width="6.42578125" style="45" hidden="1" customWidth="1"/>
    <col min="28" max="28" width="26.85546875" style="45" hidden="1" customWidth="1"/>
    <col min="29" max="29" width="8.7109375" style="45" hidden="1" customWidth="1"/>
    <col min="30" max="32" width="9.28515625" style="45" hidden="1" customWidth="1"/>
    <col min="33" max="33" width="11.85546875" style="45" hidden="1" customWidth="1"/>
    <col min="34" max="34" width="9.7109375" style="45" hidden="1" customWidth="1"/>
    <col min="35" max="35" width="12.140625" style="45" hidden="1" customWidth="1"/>
    <col min="36" max="36" width="11.140625" style="45" customWidth="1"/>
    <col min="37" max="37" width="34.5703125" style="45" customWidth="1"/>
    <col min="38" max="38" width="15.85546875" style="45" customWidth="1"/>
    <col min="39" max="39" width="7.28515625" style="45" customWidth="1"/>
    <col min="40" max="40" width="21.28515625" style="45" customWidth="1"/>
    <col min="41" max="41" width="10.42578125" style="45" customWidth="1"/>
    <col min="42" max="42" width="47.42578125" style="45" customWidth="1"/>
    <col min="43" max="43" width="16.7109375" style="45" customWidth="1"/>
    <col min="44" max="44" width="9.7109375" style="45" customWidth="1"/>
    <col min="45" max="45" width="14" style="45" customWidth="1"/>
    <col min="46" max="46" width="12.5703125" style="45" customWidth="1"/>
    <col min="47" max="16384" width="11.42578125" style="45"/>
  </cols>
  <sheetData>
    <row r="1" spans="1:43" s="414" customFormat="1" ht="36" customHeight="1" thickBot="1">
      <c r="A1" s="416"/>
      <c r="B1" s="416"/>
      <c r="C1" s="417" t="s">
        <v>0</v>
      </c>
      <c r="D1" s="416"/>
      <c r="E1" s="417"/>
      <c r="F1" s="417"/>
      <c r="G1" s="412"/>
      <c r="H1" s="412"/>
      <c r="I1" s="418"/>
      <c r="J1" s="418"/>
      <c r="K1" s="418"/>
      <c r="L1" s="418"/>
      <c r="M1" s="418"/>
      <c r="N1" s="419"/>
      <c r="O1" s="418"/>
      <c r="P1" s="418"/>
      <c r="R1" s="418" t="s">
        <v>138</v>
      </c>
      <c r="S1" s="418"/>
      <c r="T1" s="418"/>
      <c r="U1" s="418"/>
      <c r="V1" s="412"/>
      <c r="W1" s="412"/>
      <c r="X1" s="419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</row>
    <row r="2" spans="1:43" ht="31.5" customHeight="1" thickBot="1">
      <c r="A2" s="48"/>
      <c r="B2" s="357" t="s">
        <v>131</v>
      </c>
      <c r="C2" s="48"/>
      <c r="D2" s="40" t="s">
        <v>44</v>
      </c>
      <c r="E2" s="43"/>
      <c r="F2" s="43"/>
      <c r="G2" s="43"/>
      <c r="H2" s="43"/>
      <c r="I2" s="40"/>
      <c r="J2" s="40" t="s">
        <v>22</v>
      </c>
      <c r="K2" s="43"/>
      <c r="L2" s="44"/>
      <c r="M2" s="44"/>
      <c r="N2" s="113"/>
      <c r="O2" s="44"/>
      <c r="P2" s="48"/>
      <c r="Q2" s="48"/>
      <c r="R2" s="48"/>
      <c r="S2" s="48"/>
      <c r="T2" s="48"/>
      <c r="U2" s="44"/>
      <c r="V2" s="114"/>
      <c r="W2" s="114"/>
      <c r="X2" s="48"/>
      <c r="Y2" s="44"/>
      <c r="Z2" s="113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43" ht="24.75" customHeight="1">
      <c r="A3" s="48"/>
      <c r="B3" s="48"/>
      <c r="C3" s="48"/>
      <c r="D3" s="48"/>
      <c r="E3" s="48"/>
      <c r="F3" s="44"/>
      <c r="G3" s="44"/>
      <c r="H3" s="46" t="s">
        <v>3</v>
      </c>
      <c r="I3" s="46"/>
      <c r="J3" s="46"/>
      <c r="K3" s="46"/>
      <c r="L3" s="46"/>
      <c r="M3" s="46" t="s">
        <v>5</v>
      </c>
      <c r="N3" s="140"/>
      <c r="O3" s="46"/>
      <c r="P3" s="46"/>
      <c r="Q3" s="46"/>
      <c r="R3" s="46" t="s">
        <v>229</v>
      </c>
      <c r="S3" s="46"/>
      <c r="T3" s="44"/>
      <c r="U3" s="44"/>
      <c r="V3" s="44"/>
      <c r="W3" s="46" t="s">
        <v>230</v>
      </c>
      <c r="X3" s="46"/>
      <c r="Y3" s="44"/>
      <c r="Z3" s="113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</row>
    <row r="4" spans="1:43" ht="19.5" thickBot="1">
      <c r="A4" s="48"/>
      <c r="B4" s="48"/>
      <c r="C4" s="48"/>
      <c r="D4" s="48"/>
      <c r="E4" s="48"/>
      <c r="F4" s="44"/>
      <c r="G4" s="44"/>
      <c r="H4" s="46"/>
      <c r="I4" s="46"/>
      <c r="J4" s="46"/>
      <c r="K4" s="48"/>
      <c r="L4" s="46"/>
      <c r="M4" s="46"/>
      <c r="N4" s="140"/>
      <c r="O4" s="46"/>
      <c r="P4" s="48"/>
      <c r="Q4" s="46"/>
      <c r="R4" s="46"/>
      <c r="S4" s="46"/>
      <c r="T4" s="44"/>
      <c r="U4" s="48"/>
      <c r="V4" s="48"/>
      <c r="W4" s="48"/>
      <c r="X4" s="48"/>
      <c r="Y4" s="44"/>
      <c r="Z4" s="113"/>
      <c r="AA4" s="113"/>
      <c r="AB4" s="113"/>
      <c r="AC4" s="113"/>
      <c r="AD4" s="113"/>
      <c r="AE4" s="113"/>
      <c r="AF4" s="113"/>
      <c r="AG4" s="61"/>
      <c r="AH4" s="61"/>
      <c r="AI4" s="61"/>
      <c r="AJ4" s="61"/>
      <c r="AK4" s="113"/>
      <c r="AL4" s="113"/>
    </row>
    <row r="5" spans="1:43" ht="24" customHeight="1" thickBot="1">
      <c r="A5" s="48"/>
      <c r="B5" s="48"/>
      <c r="C5" s="48"/>
      <c r="D5" s="48"/>
      <c r="E5" s="48"/>
      <c r="F5" s="44"/>
      <c r="G5" s="44"/>
      <c r="H5" s="46"/>
      <c r="I5" s="46"/>
      <c r="J5" s="46"/>
      <c r="K5" s="48"/>
      <c r="L5" s="48"/>
      <c r="M5" s="44" t="s">
        <v>6</v>
      </c>
      <c r="N5" s="246" t="s">
        <v>108</v>
      </c>
      <c r="O5" s="44" t="s">
        <v>107</v>
      </c>
      <c r="P5" s="48"/>
      <c r="Q5" s="48"/>
      <c r="R5" s="44" t="s">
        <v>49</v>
      </c>
      <c r="S5" s="246" t="s">
        <v>108</v>
      </c>
      <c r="T5" s="44" t="s">
        <v>107</v>
      </c>
      <c r="U5" s="48"/>
      <c r="V5" s="48"/>
      <c r="W5" s="48"/>
      <c r="X5" s="48"/>
      <c r="Y5" s="44"/>
      <c r="Z5" s="113"/>
      <c r="AA5" s="113"/>
      <c r="AB5" s="113"/>
      <c r="AC5" s="113"/>
      <c r="AD5" s="113"/>
      <c r="AE5" s="113"/>
      <c r="AF5" s="113"/>
      <c r="AG5" s="246"/>
      <c r="AH5" s="246"/>
      <c r="AI5" s="246"/>
      <c r="AJ5" s="246"/>
      <c r="AK5" s="766" t="s">
        <v>129</v>
      </c>
      <c r="AL5" s="767"/>
      <c r="AN5" s="161"/>
      <c r="AO5" s="772" t="s">
        <v>113</v>
      </c>
      <c r="AP5" s="773"/>
      <c r="AQ5" s="774"/>
    </row>
    <row r="6" spans="1:43" ht="27" customHeight="1" thickBot="1">
      <c r="A6" s="85"/>
      <c r="B6" s="356" t="s">
        <v>103</v>
      </c>
      <c r="C6" s="86" t="s">
        <v>13</v>
      </c>
      <c r="D6" s="86" t="s">
        <v>104</v>
      </c>
      <c r="E6" s="48"/>
      <c r="F6" s="44"/>
      <c r="G6" s="44"/>
      <c r="H6" s="44" t="s">
        <v>4</v>
      </c>
      <c r="I6" s="44" t="s">
        <v>108</v>
      </c>
      <c r="J6" s="44" t="s">
        <v>107</v>
      </c>
      <c r="K6" s="48"/>
      <c r="L6" s="570" t="s">
        <v>2</v>
      </c>
      <c r="M6" s="519" t="str">
        <f>IF(J7=J8,"Gagnant du 1",IF(J7&gt;J8,H7,H8))</f>
        <v>Gagnant du 1</v>
      </c>
      <c r="N6" s="171">
        <f>IF(O6=O7,0,IF(O6&lt;O7,0,2))</f>
        <v>0</v>
      </c>
      <c r="O6" s="573"/>
      <c r="P6" s="48"/>
      <c r="Q6" s="570" t="s">
        <v>2</v>
      </c>
      <c r="R6" s="528" t="str">
        <f>IF(O6=O7,"Gagnant du 3",IF(O6&gt;O7,M6,M7))</f>
        <v>Gagnant du 3</v>
      </c>
      <c r="S6" s="216">
        <v>1</v>
      </c>
      <c r="T6" s="747">
        <v>1</v>
      </c>
      <c r="U6" s="48"/>
      <c r="V6" s="48"/>
      <c r="W6" s="44" t="s">
        <v>9</v>
      </c>
      <c r="X6" s="246" t="s">
        <v>108</v>
      </c>
      <c r="Y6" s="44" t="s">
        <v>107</v>
      </c>
      <c r="Z6" s="61"/>
      <c r="AA6" s="113"/>
      <c r="AB6" s="151" t="s">
        <v>111</v>
      </c>
      <c r="AC6" s="304" t="s">
        <v>189</v>
      </c>
      <c r="AD6" s="304" t="s">
        <v>190</v>
      </c>
      <c r="AE6" s="304" t="s">
        <v>253</v>
      </c>
      <c r="AF6" s="303" t="s">
        <v>254</v>
      </c>
      <c r="AG6" s="151" t="s">
        <v>193</v>
      </c>
      <c r="AH6" s="295" t="s">
        <v>109</v>
      </c>
      <c r="AI6" s="305" t="s">
        <v>110</v>
      </c>
      <c r="AJ6" s="433" t="s">
        <v>238</v>
      </c>
      <c r="AK6" s="365" t="s">
        <v>111</v>
      </c>
      <c r="AL6" s="365" t="s">
        <v>192</v>
      </c>
      <c r="AN6" s="238" t="s">
        <v>12</v>
      </c>
      <c r="AO6" s="112" t="s">
        <v>56</v>
      </c>
      <c r="AP6" s="239" t="s">
        <v>241</v>
      </c>
      <c r="AQ6" s="239" t="s">
        <v>16</v>
      </c>
    </row>
    <row r="7" spans="1:43" ht="27" customHeight="1" thickBot="1">
      <c r="A7" s="87">
        <v>1</v>
      </c>
      <c r="B7" s="186"/>
      <c r="C7" s="88"/>
      <c r="D7" s="89"/>
      <c r="E7" s="48"/>
      <c r="F7" s="590" t="s">
        <v>2</v>
      </c>
      <c r="G7" s="479">
        <v>1</v>
      </c>
      <c r="H7" s="116" t="str">
        <f>IF(ISNA(MATCH(G7,$D$7:$D$18,0)),"",INDEX(B$7:$B$18,MATCH(G7,$D$7:$D$18,0)))</f>
        <v/>
      </c>
      <c r="I7" s="125">
        <f>IF(J7=J8,0,IF(J7&lt;J8,2,4))</f>
        <v>0</v>
      </c>
      <c r="J7" s="656"/>
      <c r="K7" s="102"/>
      <c r="L7" s="571">
        <v>3</v>
      </c>
      <c r="M7" s="520" t="str">
        <f>IF(J9=J10,"Gagnant du 2",IF(J9&gt;J10,H9,H10))</f>
        <v>Gagnant du 2</v>
      </c>
      <c r="N7" s="129">
        <f>IF(O6=O7,0,IF(O6&gt;O7,0,2))</f>
        <v>0</v>
      </c>
      <c r="O7" s="574"/>
      <c r="P7" s="102"/>
      <c r="Q7" s="282">
        <v>6</v>
      </c>
      <c r="R7" s="118" t="s">
        <v>105</v>
      </c>
      <c r="S7" s="217">
        <v>0</v>
      </c>
      <c r="T7" s="748"/>
      <c r="U7" s="102"/>
      <c r="V7" s="570" t="s">
        <v>2</v>
      </c>
      <c r="W7" s="528" t="str">
        <f>IF(T6=T7,"Gagnant du 6",IF(T6&gt;T7,R6,R7))</f>
        <v>Gagnant du 3</v>
      </c>
      <c r="X7" s="133">
        <f>IF(Y7=Y8,0,IF(Y7&lt;Y8,0,2))</f>
        <v>0</v>
      </c>
      <c r="Y7" s="576"/>
      <c r="Z7" s="61"/>
      <c r="AA7" s="136">
        <v>1</v>
      </c>
      <c r="AB7" s="307">
        <f>+B7</f>
        <v>0</v>
      </c>
      <c r="AC7" s="211" t="str">
        <f>IF(ISNA(VLOOKUP(AB7,$H$7:$I$18,2,0)),"",VLOOKUP(AB7,$H$7:$I$18,2,0))</f>
        <v/>
      </c>
      <c r="AD7" s="211" t="str">
        <f>IF(ISNA(VLOOKUP(AB7,$M$6:$N$20,2,0)),"",VLOOKUP(AB7,$M$6:$N$20,2,0))</f>
        <v/>
      </c>
      <c r="AE7" s="211" t="str">
        <f>IF(ISNA(VLOOKUP(AB7,$R$6:$S$21,3,0)),"",VLOOKUP(AB7,$R$6:$S$21,2,0))</f>
        <v/>
      </c>
      <c r="AF7" s="296" t="str">
        <f>IF(ISNA(VLOOKUP(AB7,$W$7:$X$21,2,0)),"",VLOOKUP(AB7,$W$7:$X$21,2,0))</f>
        <v/>
      </c>
      <c r="AG7" s="346">
        <f>SUM(AC7:AF7)</f>
        <v>0</v>
      </c>
      <c r="AH7" s="299">
        <f>IF(OR(AB7="",AG7=""),"",RANK(AG7,$AG$7:$AG$18)+COUNTIF(AB$7:AB$18,"&lt;="&amp;AB7+1)/10000+ROW()/100000)</f>
        <v>1.0011700000000001</v>
      </c>
      <c r="AI7" s="649">
        <f>IF(AB7="","",SMALL(AH$7:AH$18,ROWS(AL7:AL$7)))</f>
        <v>1.0001800000000001</v>
      </c>
      <c r="AJ7" s="651">
        <f>IF(AI7="","",1)</f>
        <v>1</v>
      </c>
      <c r="AK7" s="445" t="str">
        <f>IF(OR(AB7="",AG7=""),"",INDEX($AB$7:$AB$18,MATCH(AI7,$AH$7:$AH$18,0)))</f>
        <v>OFFICE</v>
      </c>
      <c r="AL7" s="446">
        <f>IF(AB7="","",INDEX($AG$7:$AG$18,MATCH(AI7,$AH$7:$AH$18,0)))</f>
        <v>0</v>
      </c>
      <c r="AN7" s="570" t="s">
        <v>115</v>
      </c>
      <c r="AO7" s="491">
        <v>2</v>
      </c>
      <c r="AP7" s="241" t="s">
        <v>322</v>
      </c>
      <c r="AQ7" s="256" t="s">
        <v>323</v>
      </c>
    </row>
    <row r="8" spans="1:43" ht="27" customHeight="1" thickBot="1">
      <c r="A8" s="94">
        <v>2</v>
      </c>
      <c r="B8" s="187"/>
      <c r="C8" s="95"/>
      <c r="D8" s="96"/>
      <c r="E8" s="48"/>
      <c r="F8" s="591">
        <v>1</v>
      </c>
      <c r="G8" s="480">
        <v>2</v>
      </c>
      <c r="H8" s="150" t="str">
        <f>IF(ISNA(MATCH(G8,$D$7:$D$18,0)),"",INDEX(B$7:$B$18,MATCH(G8,$D$7:$D$18,0)))</f>
        <v/>
      </c>
      <c r="I8" s="129">
        <f>IF(J7=J8,0,IF(J7&gt;J8,2,4))</f>
        <v>0</v>
      </c>
      <c r="J8" s="657"/>
      <c r="K8" s="48"/>
      <c r="L8" s="570" t="s">
        <v>2</v>
      </c>
      <c r="M8" s="521" t="str">
        <f>IF(J11=J12,"Gagnant du 3",IF(J11&gt;J12,H11,H12))</f>
        <v>Gagnant du 3</v>
      </c>
      <c r="N8" s="146">
        <f>IF(O8=O9,0,IF(O8&lt;O9,0,2))</f>
        <v>0</v>
      </c>
      <c r="O8" s="573"/>
      <c r="P8" s="48"/>
      <c r="Q8" s="570" t="s">
        <v>2</v>
      </c>
      <c r="R8" s="528" t="str">
        <f>IF(O8=O9,"Gagnant du 5",IF(O8&gt;O9,M8,M9))</f>
        <v>Gagnant du 5</v>
      </c>
      <c r="S8" s="171">
        <f>IF(T8=T9,0,IF(T8&lt;T9,0,2))</f>
        <v>0</v>
      </c>
      <c r="T8" s="573"/>
      <c r="U8" s="48"/>
      <c r="V8" s="571">
        <v>4</v>
      </c>
      <c r="W8" s="520" t="str">
        <f>IF(T8=T9,"Gagnant du 2",IF(T8&gt;T9,R8,R9))</f>
        <v>Gagnant du 2</v>
      </c>
      <c r="X8" s="129">
        <f>IF(Y7=Y8,0,IF(Y7&gt;Y8,0,2))</f>
        <v>0</v>
      </c>
      <c r="Y8" s="577"/>
      <c r="Z8" s="113"/>
      <c r="AA8" s="137">
        <v>2</v>
      </c>
      <c r="AB8" s="332">
        <f t="shared" ref="AB8:AB18" si="0">+B8</f>
        <v>0</v>
      </c>
      <c r="AC8" s="210" t="str">
        <f t="shared" ref="AC8:AC18" si="1">IF(ISNA(VLOOKUP(AB8,$H$7:$I$18,2,0)),"",VLOOKUP(AB8,$H$7:$I$18,2,0))</f>
        <v/>
      </c>
      <c r="AD8" s="210" t="str">
        <f t="shared" ref="AD8:AD18" si="2">IF(ISNA(VLOOKUP(AB8,$M$6:$N$20,2,0)),"",VLOOKUP(AB8,$M$6:$N$20,2,0))</f>
        <v/>
      </c>
      <c r="AE8" s="210" t="str">
        <f t="shared" ref="AE8:AE18" si="3">IF(ISNA(VLOOKUP(AB8,$R$6:$S$21,3,0)),"",VLOOKUP(AB8,$R$6:$S$21,2,0))</f>
        <v/>
      </c>
      <c r="AF8" s="350" t="str">
        <f t="shared" ref="AF8:AF18" si="4">IF(ISNA(VLOOKUP(AB8,$W$7:$X$21,2,0)),"",VLOOKUP(AB8,$W$7:$X$21,2,0))</f>
        <v/>
      </c>
      <c r="AG8" s="347">
        <f t="shared" ref="AG8:AG18" si="5">SUM(AC8:AF8)</f>
        <v>0</v>
      </c>
      <c r="AH8" s="299">
        <f t="shared" ref="AH8:AH18" si="6">IF(OR(AB8="",AG8=""),"",RANK(AG8,$AG$7:$AG$18)+COUNTIF(AB$7:AB$18,"&lt;="&amp;AB8+1)/10000+ROW()/100000)</f>
        <v>1.0011800000000002</v>
      </c>
      <c r="AI8" s="649">
        <f>IF(AB8="","",SMALL(AH$7:AH$18,ROWS(AL$7:AL8)))</f>
        <v>1.0011700000000001</v>
      </c>
      <c r="AJ8" s="652">
        <f>IF(AI8="","",IF(AND(AL7=AL8),$AJ7,$AJ$7+1))</f>
        <v>1</v>
      </c>
      <c r="AK8" s="437">
        <f t="shared" ref="AK8:AK18" si="7">IF(OR(AB8="",AG8=""),"",INDEX($AB$7:$AB$18,MATCH(AI8,$AH$7:$AH$18,0)))</f>
        <v>0</v>
      </c>
      <c r="AL8" s="438">
        <f t="shared" ref="AL8:AL18" si="8">IF(AB8="","",INDEX($AG$7:$AG$18,MATCH(AI8,$AH$7:$AH$18,0)))</f>
        <v>0</v>
      </c>
      <c r="AN8" s="580" t="s">
        <v>15</v>
      </c>
      <c r="AO8" s="492">
        <v>2</v>
      </c>
      <c r="AP8" s="243" t="s">
        <v>243</v>
      </c>
      <c r="AQ8" s="266" t="s">
        <v>311</v>
      </c>
    </row>
    <row r="9" spans="1:43" ht="27" customHeight="1" thickBot="1">
      <c r="A9" s="94">
        <v>3</v>
      </c>
      <c r="B9" s="188"/>
      <c r="C9" s="101"/>
      <c r="D9" s="96"/>
      <c r="E9" s="48"/>
      <c r="F9" s="590" t="s">
        <v>2</v>
      </c>
      <c r="G9" s="479">
        <v>3</v>
      </c>
      <c r="H9" s="149" t="str">
        <f>IF(ISNA(MATCH(G9,$D$7:$D$18,0)),"",INDEX(B$7:$B$18,MATCH(G9,$D$7:$D$18,0)))</f>
        <v/>
      </c>
      <c r="I9" s="125">
        <f>IF(J9=J10,0,IF(J9&lt;J10,2,4))</f>
        <v>0</v>
      </c>
      <c r="J9" s="658"/>
      <c r="K9" s="48"/>
      <c r="L9" s="571">
        <v>5</v>
      </c>
      <c r="M9" s="520" t="str">
        <f>IF(J13=J14,"Gagnant du 4",IF(J13&gt;J14,H13,H14))</f>
        <v>Gagnant du 4</v>
      </c>
      <c r="N9" s="129">
        <f>IF(O8=O9,0,IF(O8&gt;O9,0,2))</f>
        <v>0</v>
      </c>
      <c r="O9" s="574"/>
      <c r="P9" s="48"/>
      <c r="Q9" s="571">
        <v>2</v>
      </c>
      <c r="R9" s="627" t="str">
        <f>IF(O10=O11,"Gagnant du 7",IF(O10&gt;O11,M10,M11))</f>
        <v>Gagnant du 7</v>
      </c>
      <c r="S9" s="129">
        <f>IF(T8=T9,0,IF(T8&gt;T9,0,2))</f>
        <v>0</v>
      </c>
      <c r="T9" s="574"/>
      <c r="U9" s="48"/>
      <c r="V9" s="48"/>
      <c r="W9" s="132"/>
      <c r="X9" s="131"/>
      <c r="Y9" s="44"/>
      <c r="Z9" s="113"/>
      <c r="AA9" s="137">
        <v>3</v>
      </c>
      <c r="AB9" s="332">
        <f t="shared" si="0"/>
        <v>0</v>
      </c>
      <c r="AC9" s="210" t="str">
        <f t="shared" si="1"/>
        <v/>
      </c>
      <c r="AD9" s="210" t="str">
        <f t="shared" si="2"/>
        <v/>
      </c>
      <c r="AE9" s="210" t="str">
        <f t="shared" si="3"/>
        <v/>
      </c>
      <c r="AF9" s="350" t="str">
        <f t="shared" si="4"/>
        <v/>
      </c>
      <c r="AG9" s="347">
        <f t="shared" si="5"/>
        <v>0</v>
      </c>
      <c r="AH9" s="299">
        <f t="shared" si="6"/>
        <v>1.00119</v>
      </c>
      <c r="AI9" s="649">
        <f>IF(AB9="","",SMALL(AH$7:AH$18,ROWS(AL$7:AL9)))</f>
        <v>1.0011800000000002</v>
      </c>
      <c r="AJ9" s="652">
        <f>IF(AI9="","",IF(AND(AL8=AL9),$AJ8,$AJ$7+2))</f>
        <v>1</v>
      </c>
      <c r="AK9" s="437">
        <f t="shared" si="7"/>
        <v>0</v>
      </c>
      <c r="AL9" s="438">
        <f t="shared" si="8"/>
        <v>0</v>
      </c>
      <c r="AN9" s="580" t="s">
        <v>114</v>
      </c>
      <c r="AO9" s="493">
        <v>2</v>
      </c>
      <c r="AP9" s="247" t="s">
        <v>244</v>
      </c>
      <c r="AQ9" s="258" t="s">
        <v>316</v>
      </c>
    </row>
    <row r="10" spans="1:43" ht="27" customHeight="1" thickBot="1">
      <c r="A10" s="94">
        <v>4</v>
      </c>
      <c r="B10" s="187"/>
      <c r="C10" s="95"/>
      <c r="D10" s="96"/>
      <c r="E10" s="48"/>
      <c r="F10" s="591">
        <v>2</v>
      </c>
      <c r="G10" s="480">
        <v>4</v>
      </c>
      <c r="H10" s="148" t="str">
        <f>IF(ISNA(MATCH(G10,$D$7:$D$18,0)),"",INDEX(B$7:$B$18,MATCH(G10,$D$7:$D$18,0)))</f>
        <v/>
      </c>
      <c r="I10" s="129">
        <f>IF(J9=J10,0,IF(J9&gt;J10,2,4))</f>
        <v>0</v>
      </c>
      <c r="J10" s="659"/>
      <c r="K10" s="102"/>
      <c r="L10" s="570" t="s">
        <v>2</v>
      </c>
      <c r="M10" s="529" t="str">
        <f>IF(J15=J16,"Gagnant du 5",IF(J15&gt;J16,H15,H16))</f>
        <v>Gagnant du 5</v>
      </c>
      <c r="N10" s="146">
        <f>IF(O10=O11,0,IF(O10&lt;O11,0,2))</f>
        <v>0</v>
      </c>
      <c r="O10" s="573"/>
      <c r="P10" s="102"/>
      <c r="Q10" s="48"/>
      <c r="R10" s="132"/>
      <c r="S10" s="132"/>
      <c r="T10" s="48"/>
      <c r="U10" s="102"/>
      <c r="V10" s="48"/>
      <c r="W10" s="132"/>
      <c r="X10" s="131"/>
      <c r="Y10" s="44"/>
      <c r="Z10" s="61"/>
      <c r="AA10" s="137">
        <v>4</v>
      </c>
      <c r="AB10" s="332">
        <f t="shared" si="0"/>
        <v>0</v>
      </c>
      <c r="AC10" s="210" t="str">
        <f t="shared" si="1"/>
        <v/>
      </c>
      <c r="AD10" s="210" t="str">
        <f t="shared" si="2"/>
        <v/>
      </c>
      <c r="AE10" s="210" t="str">
        <f t="shared" si="3"/>
        <v/>
      </c>
      <c r="AF10" s="350" t="str">
        <f t="shared" si="4"/>
        <v/>
      </c>
      <c r="AG10" s="347">
        <f t="shared" si="5"/>
        <v>0</v>
      </c>
      <c r="AH10" s="299">
        <f t="shared" si="6"/>
        <v>1.0012000000000001</v>
      </c>
      <c r="AI10" s="649">
        <f>IF(AB10="","",SMALL(AH$7:AH$18,ROWS(AL$7:AL10)))</f>
        <v>1.00119</v>
      </c>
      <c r="AJ10" s="652">
        <f>IF(AI10="","",IF(AND(AL9=AL10),$AJ9,$AJ$7+3))</f>
        <v>1</v>
      </c>
      <c r="AK10" s="437">
        <f t="shared" si="7"/>
        <v>0</v>
      </c>
      <c r="AL10" s="438">
        <f t="shared" si="8"/>
        <v>0</v>
      </c>
      <c r="AN10" s="660" t="s">
        <v>118</v>
      </c>
      <c r="AO10" s="491">
        <v>2</v>
      </c>
      <c r="AP10" s="245" t="s">
        <v>327</v>
      </c>
      <c r="AQ10" s="256" t="s">
        <v>326</v>
      </c>
    </row>
    <row r="11" spans="1:43" ht="27" customHeight="1" thickBot="1">
      <c r="A11" s="94">
        <v>5</v>
      </c>
      <c r="B11" s="188"/>
      <c r="C11" s="101"/>
      <c r="D11" s="96"/>
      <c r="E11" s="48"/>
      <c r="F11" s="590" t="s">
        <v>2</v>
      </c>
      <c r="G11" s="479">
        <v>5</v>
      </c>
      <c r="H11" s="149" t="str">
        <f>IF(ISNA(MATCH(G11,$D$7:$D$18,0)),"",INDEX(B$7:$B$18,MATCH(G11,$D$7:$D$18,0)))</f>
        <v/>
      </c>
      <c r="I11" s="125">
        <f>IF(J11=J12,0,IF(J11&lt;J12,2,4))</f>
        <v>0</v>
      </c>
      <c r="J11" s="656"/>
      <c r="K11" s="48"/>
      <c r="L11" s="571">
        <v>7</v>
      </c>
      <c r="M11" s="520" t="str">
        <f>IF(J17=J18,"Gagnant du 6",IF(J17&gt;J18,H17,H18))</f>
        <v/>
      </c>
      <c r="N11" s="129">
        <f>IF(O10=O11,0,IF(O10&gt;O11,0,2))</f>
        <v>0</v>
      </c>
      <c r="O11" s="574"/>
      <c r="P11" s="48"/>
      <c r="Q11" s="48"/>
      <c r="R11" s="131" t="s">
        <v>51</v>
      </c>
      <c r="S11" s="131"/>
      <c r="T11" s="44"/>
      <c r="U11" s="48"/>
      <c r="V11" s="102"/>
      <c r="W11" s="721"/>
      <c r="X11" s="147"/>
      <c r="Y11" s="47"/>
      <c r="Z11" s="113"/>
      <c r="AA11" s="137">
        <v>5</v>
      </c>
      <c r="AB11" s="332">
        <f t="shared" si="0"/>
        <v>0</v>
      </c>
      <c r="AC11" s="210" t="str">
        <f t="shared" si="1"/>
        <v/>
      </c>
      <c r="AD11" s="210" t="str">
        <f t="shared" si="2"/>
        <v/>
      </c>
      <c r="AE11" s="210" t="str">
        <f t="shared" si="3"/>
        <v/>
      </c>
      <c r="AF11" s="350" t="str">
        <f t="shared" si="4"/>
        <v/>
      </c>
      <c r="AG11" s="347">
        <f t="shared" si="5"/>
        <v>0</v>
      </c>
      <c r="AH11" s="299">
        <f t="shared" si="6"/>
        <v>1.0012100000000002</v>
      </c>
      <c r="AI11" s="649">
        <f>IF(AB11="","",SMALL(AH$7:AH$18,ROWS(AL$7:AL11)))</f>
        <v>1.0012000000000001</v>
      </c>
      <c r="AJ11" s="652">
        <f>IF(AI11="","",IF(AND(AL10=AL11),$AJ10,$AJ$7+4))</f>
        <v>1</v>
      </c>
      <c r="AK11" s="437">
        <f t="shared" si="7"/>
        <v>0</v>
      </c>
      <c r="AL11" s="438">
        <f t="shared" si="8"/>
        <v>0</v>
      </c>
      <c r="AN11" s="661" t="s">
        <v>20</v>
      </c>
      <c r="AO11" s="492">
        <v>2</v>
      </c>
      <c r="AP11" s="243" t="s">
        <v>248</v>
      </c>
      <c r="AQ11" s="266" t="s">
        <v>324</v>
      </c>
    </row>
    <row r="12" spans="1:43" ht="27" customHeight="1" thickBot="1">
      <c r="A12" s="94">
        <v>6</v>
      </c>
      <c r="B12" s="187"/>
      <c r="C12" s="95"/>
      <c r="D12" s="96"/>
      <c r="E12" s="48"/>
      <c r="F12" s="591">
        <v>3</v>
      </c>
      <c r="G12" s="480">
        <v>6</v>
      </c>
      <c r="H12" s="148" t="str">
        <f>IF(ISNA(MATCH(G12,$D$7:$D$18,0)),"",INDEX(B$7:$B$18,MATCH(G12,$D$7:$D$18,0)))</f>
        <v/>
      </c>
      <c r="I12" s="129">
        <f>IF(J11=J12,0,IF(J11&gt;J12,2,4))</f>
        <v>0</v>
      </c>
      <c r="J12" s="657"/>
      <c r="K12" s="48"/>
      <c r="M12" s="533"/>
      <c r="N12" s="143"/>
      <c r="P12" s="48"/>
      <c r="Q12" s="522" t="s">
        <v>2</v>
      </c>
      <c r="R12" s="528" t="str">
        <f>IF(O17=O18,"Gagnant du 2",IF(O17&gt;O18,M17,M18))</f>
        <v>Gagnant du 2</v>
      </c>
      <c r="S12" s="216">
        <v>0.5</v>
      </c>
      <c r="T12" s="747">
        <v>1</v>
      </c>
      <c r="U12" s="48"/>
      <c r="V12" s="48"/>
      <c r="W12" s="131" t="s">
        <v>10</v>
      </c>
      <c r="X12" s="167"/>
      <c r="Y12" s="44"/>
      <c r="Z12" s="61"/>
      <c r="AA12" s="137">
        <v>6</v>
      </c>
      <c r="AB12" s="332">
        <f t="shared" si="0"/>
        <v>0</v>
      </c>
      <c r="AC12" s="210" t="str">
        <f t="shared" si="1"/>
        <v/>
      </c>
      <c r="AD12" s="210" t="str">
        <f t="shared" si="2"/>
        <v/>
      </c>
      <c r="AE12" s="210" t="str">
        <f t="shared" si="3"/>
        <v/>
      </c>
      <c r="AF12" s="350" t="str">
        <f t="shared" si="4"/>
        <v/>
      </c>
      <c r="AG12" s="347">
        <f t="shared" si="5"/>
        <v>0</v>
      </c>
      <c r="AH12" s="299">
        <f t="shared" si="6"/>
        <v>1.00122</v>
      </c>
      <c r="AI12" s="649">
        <f>IF(AB12="","",SMALL(AH$7:AH$18,ROWS(AL$7:AL12)))</f>
        <v>1.0012100000000002</v>
      </c>
      <c r="AJ12" s="652">
        <f>IF(AI12="","",IF(AND(AL11=AL12),$AJ11,$AJ$7+5))</f>
        <v>1</v>
      </c>
      <c r="AK12" s="437">
        <f t="shared" si="7"/>
        <v>0</v>
      </c>
      <c r="AL12" s="438">
        <f t="shared" si="8"/>
        <v>0</v>
      </c>
      <c r="AN12" s="661" t="s">
        <v>65</v>
      </c>
      <c r="AO12" s="493">
        <v>2</v>
      </c>
      <c r="AP12" s="247" t="s">
        <v>252</v>
      </c>
      <c r="AQ12" s="266" t="s">
        <v>317</v>
      </c>
    </row>
    <row r="13" spans="1:43" ht="27" customHeight="1" thickBot="1">
      <c r="A13" s="94">
        <v>7</v>
      </c>
      <c r="B13" s="188"/>
      <c r="C13" s="101"/>
      <c r="D13" s="96"/>
      <c r="E13" s="48"/>
      <c r="F13" s="590" t="s">
        <v>2</v>
      </c>
      <c r="G13" s="479">
        <v>7</v>
      </c>
      <c r="H13" s="149" t="str">
        <f>IF(ISNA(MATCH(G13,$D$7:$D$18,0)),"",INDEX(B$7:$B$18,MATCH(G13,$D$7:$D$18,0)))</f>
        <v/>
      </c>
      <c r="I13" s="125">
        <f>IF(J13=J14,0,IF(J13&lt;J14,2,4))</f>
        <v>0</v>
      </c>
      <c r="J13" s="658"/>
      <c r="K13" s="48"/>
      <c r="M13" s="533"/>
      <c r="N13" s="143"/>
      <c r="P13" s="48"/>
      <c r="Q13" s="282">
        <v>5</v>
      </c>
      <c r="R13" s="118" t="s">
        <v>105</v>
      </c>
      <c r="S13" s="217">
        <v>0</v>
      </c>
      <c r="T13" s="748"/>
      <c r="U13" s="48"/>
      <c r="V13" s="522" t="s">
        <v>2</v>
      </c>
      <c r="W13" s="528" t="str">
        <f>IF(T14=T15,"Gagnant du 3",IF(T14&gt;T15,R14,R15))</f>
        <v>Gagnant du 3</v>
      </c>
      <c r="X13" s="146">
        <f>IF(Y13=Y14,0,IF(Y13&lt;Y14,0,1))</f>
        <v>0</v>
      </c>
      <c r="Y13" s="631"/>
      <c r="Z13" s="61"/>
      <c r="AA13" s="137">
        <v>7</v>
      </c>
      <c r="AB13" s="332">
        <f t="shared" si="0"/>
        <v>0</v>
      </c>
      <c r="AC13" s="210" t="str">
        <f t="shared" si="1"/>
        <v/>
      </c>
      <c r="AD13" s="210" t="str">
        <f t="shared" si="2"/>
        <v/>
      </c>
      <c r="AE13" s="210" t="str">
        <f t="shared" si="3"/>
        <v/>
      </c>
      <c r="AF13" s="350" t="str">
        <f t="shared" si="4"/>
        <v/>
      </c>
      <c r="AG13" s="347">
        <f t="shared" si="5"/>
        <v>0</v>
      </c>
      <c r="AH13" s="299">
        <f t="shared" si="6"/>
        <v>1.0012300000000001</v>
      </c>
      <c r="AI13" s="649">
        <f>IF(AB13="","",SMALL(AH$7:AH$18,ROWS(AL$7:AL13)))</f>
        <v>1.00122</v>
      </c>
      <c r="AJ13" s="652">
        <f>IF(AI13="","",IF(AND(AL12=AL13),$AJ12,$AJ$7+6))</f>
        <v>1</v>
      </c>
      <c r="AK13" s="437">
        <f t="shared" si="7"/>
        <v>0</v>
      </c>
      <c r="AL13" s="438">
        <f t="shared" si="8"/>
        <v>0</v>
      </c>
      <c r="AN13" s="663" t="s">
        <v>117</v>
      </c>
      <c r="AO13" s="503">
        <v>2</v>
      </c>
      <c r="AP13" s="245" t="s">
        <v>267</v>
      </c>
      <c r="AQ13" s="256" t="s">
        <v>324</v>
      </c>
    </row>
    <row r="14" spans="1:43" ht="27" customHeight="1" thickBot="1">
      <c r="A14" s="94">
        <v>8</v>
      </c>
      <c r="B14" s="187"/>
      <c r="C14" s="95"/>
      <c r="D14" s="96"/>
      <c r="E14" s="48"/>
      <c r="F14" s="591">
        <v>4</v>
      </c>
      <c r="G14" s="480">
        <v>8</v>
      </c>
      <c r="H14" s="148" t="str">
        <f>IF(ISNA(MATCH(G14,$D$7:$D$18,0)),"",INDEX(B$7:$B$18,MATCH(G14,$D$7:$D$18,0)))</f>
        <v/>
      </c>
      <c r="I14" s="129">
        <f>IF(J13=J14,0,IF(J13&gt;J14,2,4))</f>
        <v>0</v>
      </c>
      <c r="J14" s="659"/>
      <c r="K14" s="48"/>
      <c r="L14" s="48"/>
      <c r="M14" s="131" t="s">
        <v>7</v>
      </c>
      <c r="N14" s="167"/>
      <c r="O14" s="163"/>
      <c r="P14" s="48"/>
      <c r="Q14" s="522" t="s">
        <v>2</v>
      </c>
      <c r="R14" s="528" t="str">
        <f>IF(O19=O20,"Gagnant du 4",IF(O19&gt;O20,M19,M20))</f>
        <v>Perdant du 5</v>
      </c>
      <c r="S14" s="171">
        <f>IF(T14=T15,0,IF(T14&lt;T15,0,1))</f>
        <v>0</v>
      </c>
      <c r="T14" s="523"/>
      <c r="U14" s="48"/>
      <c r="V14" s="524">
        <v>1</v>
      </c>
      <c r="W14" s="520" t="str">
        <f>IF(T12=T13,"Gagnant du 5",IF(T12&gt;T13,R12,R13))</f>
        <v>Gagnant du 2</v>
      </c>
      <c r="X14" s="129">
        <f>IF(Y13=Y14,0,IF(Y13&gt;Y14,0,1))</f>
        <v>0</v>
      </c>
      <c r="Y14" s="632"/>
      <c r="Z14" s="114"/>
      <c r="AA14" s="137">
        <v>8</v>
      </c>
      <c r="AB14" s="332">
        <f t="shared" si="0"/>
        <v>0</v>
      </c>
      <c r="AC14" s="210" t="str">
        <f t="shared" si="1"/>
        <v/>
      </c>
      <c r="AD14" s="210" t="str">
        <f t="shared" si="2"/>
        <v/>
      </c>
      <c r="AE14" s="210" t="str">
        <f t="shared" si="3"/>
        <v/>
      </c>
      <c r="AF14" s="350" t="str">
        <f t="shared" si="4"/>
        <v/>
      </c>
      <c r="AG14" s="347">
        <f t="shared" si="5"/>
        <v>0</v>
      </c>
      <c r="AH14" s="299">
        <f t="shared" si="6"/>
        <v>1.0012400000000001</v>
      </c>
      <c r="AI14" s="649">
        <f>IF(AB14="","",SMALL(AH$7:AH$18,ROWS(AL$7:AL14)))</f>
        <v>1.0012300000000001</v>
      </c>
      <c r="AJ14" s="652">
        <f>IF(AI14="","",IF(AND(AL13=AL14),$AJ13,$AJ$7+7))</f>
        <v>1</v>
      </c>
      <c r="AK14" s="437">
        <f t="shared" si="7"/>
        <v>0</v>
      </c>
      <c r="AL14" s="438">
        <f t="shared" si="8"/>
        <v>0</v>
      </c>
      <c r="AN14" s="664" t="s">
        <v>18</v>
      </c>
      <c r="AO14" s="492">
        <v>2</v>
      </c>
      <c r="AP14" s="243" t="s">
        <v>270</v>
      </c>
      <c r="AQ14" s="458" t="s">
        <v>318</v>
      </c>
    </row>
    <row r="15" spans="1:43" ht="27" customHeight="1" thickBot="1">
      <c r="A15" s="94">
        <v>9</v>
      </c>
      <c r="B15" s="188"/>
      <c r="C15" s="101"/>
      <c r="D15" s="96"/>
      <c r="E15" s="48"/>
      <c r="F15" s="590" t="s">
        <v>2</v>
      </c>
      <c r="G15" s="479">
        <v>9</v>
      </c>
      <c r="H15" s="149" t="str">
        <f>IF(ISNA(MATCH(G15,$D$7:$D$18,0)),"",INDEX(B$7:$B$18,MATCH(G15,$D$7:$D$18,0)))</f>
        <v/>
      </c>
      <c r="I15" s="125">
        <f>IF(J15=J16,0,IF(J15&lt;J16,2,4))</f>
        <v>0</v>
      </c>
      <c r="J15" s="656"/>
      <c r="K15" s="48"/>
      <c r="L15" s="522" t="s">
        <v>2</v>
      </c>
      <c r="M15" s="528" t="str">
        <f>IF(J7=J8,"Perdant du 1",IF(J7&lt;J8,H7,H8))</f>
        <v>Perdant du 1</v>
      </c>
      <c r="N15" s="171">
        <f>IF(O15=O16,0,IF(O15&lt;O16,0,1))</f>
        <v>0</v>
      </c>
      <c r="O15" s="523"/>
      <c r="P15" s="48"/>
      <c r="Q15" s="524">
        <v>3</v>
      </c>
      <c r="R15" s="520" t="str">
        <f>IF(O15=O16,"Gagnant du 8",IF(O15&gt;O16,M15,M16))</f>
        <v>Gagnant du 8</v>
      </c>
      <c r="S15" s="129">
        <f>IF(T14=T15,0,IF(T14&gt;T15,0,1))</f>
        <v>0</v>
      </c>
      <c r="T15" s="525"/>
      <c r="U15" s="48"/>
      <c r="V15" s="48"/>
      <c r="W15" s="132"/>
      <c r="X15" s="131"/>
      <c r="Y15" s="48"/>
      <c r="Z15" s="114"/>
      <c r="AA15" s="137">
        <v>9</v>
      </c>
      <c r="AB15" s="332">
        <f t="shared" si="0"/>
        <v>0</v>
      </c>
      <c r="AC15" s="210" t="str">
        <f t="shared" si="1"/>
        <v/>
      </c>
      <c r="AD15" s="210" t="str">
        <f t="shared" si="2"/>
        <v/>
      </c>
      <c r="AE15" s="210" t="str">
        <f t="shared" si="3"/>
        <v/>
      </c>
      <c r="AF15" s="350" t="str">
        <f t="shared" si="4"/>
        <v/>
      </c>
      <c r="AG15" s="347">
        <f t="shared" si="5"/>
        <v>0</v>
      </c>
      <c r="AH15" s="299">
        <f t="shared" si="6"/>
        <v>1.0012500000000002</v>
      </c>
      <c r="AI15" s="649">
        <f>IF(AB15="","",SMALL(AH$7:AH$18,ROWS(AL$7:AL15)))</f>
        <v>1.0012400000000001</v>
      </c>
      <c r="AJ15" s="652">
        <f>IF(AI15="","",IF(AND(AL14=AL15),$AJ14,$AJ$7+8))</f>
        <v>1</v>
      </c>
      <c r="AK15" s="437">
        <f t="shared" si="7"/>
        <v>0</v>
      </c>
      <c r="AL15" s="438">
        <f t="shared" si="8"/>
        <v>0</v>
      </c>
      <c r="AN15" s="665" t="s">
        <v>64</v>
      </c>
      <c r="AO15" s="497">
        <v>2</v>
      </c>
      <c r="AP15" s="247" t="s">
        <v>251</v>
      </c>
      <c r="AQ15" s="258" t="s">
        <v>320</v>
      </c>
    </row>
    <row r="16" spans="1:43" ht="27" customHeight="1" thickBot="1">
      <c r="A16" s="94">
        <v>10</v>
      </c>
      <c r="B16" s="187"/>
      <c r="C16" s="95"/>
      <c r="D16" s="96"/>
      <c r="E16" s="48"/>
      <c r="F16" s="591">
        <v>5</v>
      </c>
      <c r="G16" s="480">
        <v>10</v>
      </c>
      <c r="H16" s="148" t="str">
        <f>IF(ISNA(MATCH(G16,$D$7:$D$18,0)),"",INDEX(B$7:$B$18,MATCH(G16,$D$7:$D$18,0)))</f>
        <v/>
      </c>
      <c r="I16" s="129">
        <f>IF(J15=J16,0,IF(J15&gt;J16,2,4))</f>
        <v>0</v>
      </c>
      <c r="J16" s="657"/>
      <c r="K16" s="48"/>
      <c r="L16" s="524">
        <v>8</v>
      </c>
      <c r="M16" s="521" t="str">
        <f>IF(J9=J10,"Perdant du 2",IF(J9&lt;J10,H9,H10))</f>
        <v>Perdant du 2</v>
      </c>
      <c r="N16" s="129">
        <f>IF(O15=O16,0,IF(O15&gt;O16,0,1))</f>
        <v>0</v>
      </c>
      <c r="O16" s="525"/>
      <c r="P16" s="48"/>
      <c r="Q16" s="48"/>
      <c r="R16" s="132"/>
      <c r="S16" s="132"/>
      <c r="T16" s="48"/>
      <c r="U16" s="48"/>
      <c r="V16" s="48"/>
      <c r="W16" s="132"/>
      <c r="X16" s="131"/>
      <c r="Y16" s="48"/>
      <c r="Z16" s="114"/>
      <c r="AA16" s="137">
        <v>10</v>
      </c>
      <c r="AB16" s="332">
        <f t="shared" si="0"/>
        <v>0</v>
      </c>
      <c r="AC16" s="210" t="str">
        <f t="shared" si="1"/>
        <v/>
      </c>
      <c r="AD16" s="210" t="str">
        <f t="shared" si="2"/>
        <v/>
      </c>
      <c r="AE16" s="210" t="str">
        <f t="shared" si="3"/>
        <v/>
      </c>
      <c r="AF16" s="350" t="str">
        <f t="shared" si="4"/>
        <v/>
      </c>
      <c r="AG16" s="347">
        <f t="shared" si="5"/>
        <v>0</v>
      </c>
      <c r="AH16" s="299">
        <f t="shared" si="6"/>
        <v>1.00126</v>
      </c>
      <c r="AI16" s="649">
        <f>IF(AB16="","",SMALL(AH$7:AH$18,ROWS(AL$7:AL16)))</f>
        <v>1.0012500000000002</v>
      </c>
      <c r="AJ16" s="652">
        <f>IF(AI16="","",IF(AND(AL15=AL16),$AJ15,$AJ$7+9))</f>
        <v>1</v>
      </c>
      <c r="AK16" s="437">
        <f t="shared" si="7"/>
        <v>0</v>
      </c>
      <c r="AL16" s="438">
        <f t="shared" si="8"/>
        <v>0</v>
      </c>
      <c r="AN16" s="265" t="s">
        <v>116</v>
      </c>
      <c r="AO16" s="498">
        <v>2</v>
      </c>
      <c r="AP16" s="241" t="s">
        <v>246</v>
      </c>
      <c r="AQ16" s="136">
        <f t="shared" ref="AQ16:AQ17" si="9">SUM(AO16:AP16)</f>
        <v>2</v>
      </c>
    </row>
    <row r="17" spans="1:46" ht="27" customHeight="1" thickBot="1">
      <c r="A17" s="94">
        <v>11</v>
      </c>
      <c r="B17" s="188"/>
      <c r="C17" s="101"/>
      <c r="D17" s="96"/>
      <c r="E17" s="48"/>
      <c r="F17" s="590" t="s">
        <v>2</v>
      </c>
      <c r="G17" s="479">
        <v>11</v>
      </c>
      <c r="H17" s="149" t="str">
        <f>IF(ISNA(MATCH(G17,$D$7:$D$18,0)),"",INDEX(B$7:$B$18,MATCH(G17,$D$7:$D$18,0)))</f>
        <v/>
      </c>
      <c r="I17" s="216">
        <v>3</v>
      </c>
      <c r="J17" s="747">
        <v>1</v>
      </c>
      <c r="K17" s="48"/>
      <c r="L17" s="522" t="s">
        <v>2</v>
      </c>
      <c r="M17" s="528" t="str">
        <f>IF(J11=J12,"Perdant du 3",IF(J11&lt;J12,H11,H12))</f>
        <v>Perdant du 3</v>
      </c>
      <c r="N17" s="146">
        <f>IF(O17=O18,0,IF(O17&lt;O18,0,1))</f>
        <v>0</v>
      </c>
      <c r="O17" s="523"/>
      <c r="P17" s="48"/>
      <c r="Q17" s="48"/>
      <c r="R17" s="131" t="s">
        <v>53</v>
      </c>
      <c r="S17" s="131"/>
      <c r="T17" s="44"/>
      <c r="U17" s="48"/>
      <c r="V17" s="48"/>
      <c r="W17" s="132"/>
      <c r="X17" s="131"/>
      <c r="Y17" s="48"/>
      <c r="Z17" s="113"/>
      <c r="AA17" s="137">
        <v>11</v>
      </c>
      <c r="AB17" s="332">
        <f t="shared" si="0"/>
        <v>0</v>
      </c>
      <c r="AC17" s="210" t="str">
        <f t="shared" si="1"/>
        <v/>
      </c>
      <c r="AD17" s="210" t="str">
        <f t="shared" si="2"/>
        <v/>
      </c>
      <c r="AE17" s="210" t="str">
        <f t="shared" si="3"/>
        <v/>
      </c>
      <c r="AF17" s="350" t="str">
        <f t="shared" si="4"/>
        <v/>
      </c>
      <c r="AG17" s="347">
        <f t="shared" si="5"/>
        <v>0</v>
      </c>
      <c r="AH17" s="299">
        <f t="shared" si="6"/>
        <v>1.0012700000000001</v>
      </c>
      <c r="AI17" s="649">
        <f>IF(AB17="","",SMALL(AH$7:AH$18,ROWS(AL$7:AL17)))</f>
        <v>1.00126</v>
      </c>
      <c r="AJ17" s="652">
        <f>IF(AI17="","",IF(AND(AL16=AL17),$AJ16,$AJ$7+10))</f>
        <v>1</v>
      </c>
      <c r="AK17" s="437">
        <f t="shared" si="7"/>
        <v>0</v>
      </c>
      <c r="AL17" s="438">
        <f t="shared" si="8"/>
        <v>0</v>
      </c>
      <c r="AN17" s="257" t="s">
        <v>116</v>
      </c>
      <c r="AO17" s="500">
        <v>2</v>
      </c>
      <c r="AP17" s="247" t="s">
        <v>246</v>
      </c>
      <c r="AQ17" s="138">
        <f t="shared" si="9"/>
        <v>2</v>
      </c>
    </row>
    <row r="18" spans="1:46" ht="27" customHeight="1" thickBot="1">
      <c r="A18" s="110">
        <v>12</v>
      </c>
      <c r="B18" s="200" t="s">
        <v>105</v>
      </c>
      <c r="C18" s="204"/>
      <c r="D18" s="159">
        <v>12</v>
      </c>
      <c r="E18" s="48"/>
      <c r="F18" s="170">
        <v>6</v>
      </c>
      <c r="G18" s="480">
        <v>12</v>
      </c>
      <c r="H18" s="165" t="str">
        <f>IF(ISNA(MATCH(G18,$D$7:$D$18,0)),"",INDEX(B$7:$B$18,MATCH(G18,$D$7:$D$18,0)))</f>
        <v>OFFICE</v>
      </c>
      <c r="I18" s="217">
        <v>0</v>
      </c>
      <c r="J18" s="748"/>
      <c r="K18" s="48"/>
      <c r="L18" s="524">
        <v>2</v>
      </c>
      <c r="M18" s="521" t="str">
        <f>IF(J13=J14,"Perdant du 4",IF(J13&lt;J14,H13,H14))</f>
        <v>Perdant du 4</v>
      </c>
      <c r="N18" s="129">
        <f>IF(O17=O18,0,IF(O17&gt;O18,0,1))</f>
        <v>0</v>
      </c>
      <c r="O18" s="525"/>
      <c r="P18" s="48"/>
      <c r="Q18" s="483" t="s">
        <v>2</v>
      </c>
      <c r="R18" s="164" t="s">
        <v>105</v>
      </c>
      <c r="S18" s="216">
        <v>0</v>
      </c>
      <c r="T18" s="747"/>
      <c r="U18" s="48"/>
      <c r="V18" s="48"/>
      <c r="W18" s="131" t="s">
        <v>11</v>
      </c>
      <c r="X18" s="167"/>
      <c r="Y18" s="44"/>
      <c r="Z18" s="61"/>
      <c r="AA18" s="170">
        <v>12</v>
      </c>
      <c r="AB18" s="378" t="str">
        <f t="shared" si="0"/>
        <v>OFFICE</v>
      </c>
      <c r="AC18" s="379">
        <f t="shared" si="1"/>
        <v>0</v>
      </c>
      <c r="AD18" s="379">
        <f t="shared" si="2"/>
        <v>0</v>
      </c>
      <c r="AE18" s="379">
        <f t="shared" si="3"/>
        <v>0</v>
      </c>
      <c r="AF18" s="429" t="str">
        <f t="shared" si="4"/>
        <v/>
      </c>
      <c r="AG18" s="430">
        <f t="shared" si="5"/>
        <v>0</v>
      </c>
      <c r="AH18" s="374">
        <f t="shared" si="6"/>
        <v>1.0001800000000001</v>
      </c>
      <c r="AI18" s="672">
        <f>IF(AB18="","",SMALL(AH$7:AH$18,ROWS(AL$7:AL18)))</f>
        <v>1.0012700000000001</v>
      </c>
      <c r="AJ18" s="653">
        <f>IF(AI18="","",IF(AND(AL17=AL18),$AJ17,$AJ$7+11))</f>
        <v>1</v>
      </c>
      <c r="AK18" s="431">
        <f t="shared" si="7"/>
        <v>0</v>
      </c>
      <c r="AL18" s="432">
        <f t="shared" si="8"/>
        <v>0</v>
      </c>
      <c r="AM18" s="263"/>
    </row>
    <row r="19" spans="1:46" ht="27" customHeight="1" thickBot="1">
      <c r="E19" s="48"/>
      <c r="H19" s="144" t="s">
        <v>232</v>
      </c>
      <c r="K19" s="48"/>
      <c r="L19" s="522" t="s">
        <v>2</v>
      </c>
      <c r="M19" s="528" t="str">
        <f>IF(J15=J16,"Perdant du 5",IF(J15&lt;J16,H15,H16))</f>
        <v>Perdant du 5</v>
      </c>
      <c r="N19" s="216">
        <v>0.5</v>
      </c>
      <c r="O19" s="747">
        <v>1</v>
      </c>
      <c r="P19" s="48"/>
      <c r="Q19" s="282">
        <v>4</v>
      </c>
      <c r="R19" s="627" t="str">
        <f>IF(O6=O7,"Perdant du 3",IF(O6&lt;O7,M6,M7))</f>
        <v>Perdant du 3</v>
      </c>
      <c r="S19" s="217">
        <v>0.5</v>
      </c>
      <c r="T19" s="748">
        <v>1</v>
      </c>
      <c r="U19" s="48"/>
      <c r="V19" s="483" t="s">
        <v>2</v>
      </c>
      <c r="W19" s="535" t="str">
        <f>IF(T18=T19,"Gagnant du 4",IF(T18&gt;T19,R18,R19))</f>
        <v>Perdant du 3</v>
      </c>
      <c r="X19" s="146">
        <f>IF(Y19=Y20,0,IF(Y19&lt;Y20,0,1))</f>
        <v>0</v>
      </c>
      <c r="Y19" s="511"/>
      <c r="Z19" s="61"/>
      <c r="AC19" s="161">
        <f>SUM(AC7:AC18)</f>
        <v>0</v>
      </c>
      <c r="AD19" s="161">
        <f>SUM(AD7:AD18)</f>
        <v>0</v>
      </c>
      <c r="AE19" s="161">
        <f>SUM(AE7:AE18)</f>
        <v>0</v>
      </c>
      <c r="AF19" s="161">
        <f>SUM(AF7:AF18)</f>
        <v>0</v>
      </c>
      <c r="AG19" s="161">
        <f>SUM(AG7:AG18)</f>
        <v>0</v>
      </c>
      <c r="AM19" s="263"/>
    </row>
    <row r="20" spans="1:46" ht="27" customHeight="1" thickBot="1">
      <c r="B20" s="48"/>
      <c r="C20" s="48"/>
      <c r="D20" s="48"/>
      <c r="E20" s="48"/>
      <c r="K20" s="48"/>
      <c r="L20" s="282">
        <v>4</v>
      </c>
      <c r="M20" s="118" t="s">
        <v>105</v>
      </c>
      <c r="N20" s="217">
        <v>0</v>
      </c>
      <c r="O20" s="748"/>
      <c r="P20" s="48"/>
      <c r="Q20" s="509" t="s">
        <v>2</v>
      </c>
      <c r="R20" s="528" t="str">
        <f>IF(O8=O9,"Perdant du 5",IF(O8&lt;O9,M8,M9))</f>
        <v>Perdant du 5</v>
      </c>
      <c r="S20" s="171">
        <f>IF(T20=T21,0,IF(T20&lt;T21,0,1))</f>
        <v>0</v>
      </c>
      <c r="T20" s="510"/>
      <c r="U20" s="48"/>
      <c r="V20" s="484">
        <v>6</v>
      </c>
      <c r="W20" s="520" t="str">
        <f>IF(T20=T21,"Gagnant du 8",IF(T20&gt;T21,R20,R21))</f>
        <v>Gagnant du 8</v>
      </c>
      <c r="X20" s="129">
        <f>IF(Y19=Y20,0,IF(Y19&gt;Y20,0,1))</f>
        <v>0</v>
      </c>
      <c r="Y20" s="512"/>
      <c r="Z20" s="114"/>
      <c r="AN20" s="61"/>
    </row>
    <row r="21" spans="1:46" ht="27" customHeight="1" thickBot="1">
      <c r="B21" s="355" t="s">
        <v>132</v>
      </c>
      <c r="C21" s="48"/>
      <c r="E21" s="48"/>
      <c r="H21" s="144"/>
      <c r="K21" s="48"/>
      <c r="P21" s="48"/>
      <c r="Q21" s="484">
        <v>8</v>
      </c>
      <c r="R21" s="627" t="str">
        <f>IF(O10=O11,"Perdant du 7",IF(O10&lt;O11,M10,M11))</f>
        <v>Perdant du 7</v>
      </c>
      <c r="S21" s="129">
        <f>IF(T20=T21,0,IF(T20&gt;T21,0,1))</f>
        <v>0</v>
      </c>
      <c r="T21" s="485"/>
      <c r="U21" s="48"/>
      <c r="V21" s="48"/>
      <c r="W21" s="48"/>
      <c r="X21" s="44"/>
      <c r="Y21" s="48"/>
      <c r="Z21" s="113"/>
    </row>
    <row r="22" spans="1:46" ht="22.5" customHeight="1" thickBot="1">
      <c r="B22" s="434" t="s">
        <v>45</v>
      </c>
      <c r="C22" s="48"/>
      <c r="D22" s="44"/>
      <c r="E22" s="48"/>
      <c r="F22" s="48"/>
      <c r="K22" s="44"/>
      <c r="P22" s="48"/>
      <c r="Q22" s="48"/>
      <c r="R22" s="48"/>
      <c r="S22" s="44"/>
      <c r="T22" s="48"/>
      <c r="U22" s="48"/>
      <c r="V22" s="48"/>
      <c r="W22" s="48"/>
      <c r="X22" s="44"/>
      <c r="Y22" s="44"/>
      <c r="Z22" s="114"/>
      <c r="AN22" s="114"/>
    </row>
    <row r="23" spans="1:46" ht="22.5" customHeight="1" thickBot="1">
      <c r="A23" s="48"/>
      <c r="B23" s="162"/>
      <c r="C23" s="44"/>
      <c r="D23" s="44"/>
      <c r="E23" s="48"/>
      <c r="F23" s="47"/>
      <c r="G23" s="48"/>
      <c r="H23" s="48"/>
      <c r="I23" s="135">
        <f>SUM(I7:I18)</f>
        <v>3</v>
      </c>
      <c r="J23" s="252"/>
      <c r="K23" s="201"/>
      <c r="L23" s="135"/>
      <c r="M23" s="274"/>
      <c r="N23" s="131">
        <f>SUM(N6:N22)</f>
        <v>0.5</v>
      </c>
      <c r="O23" s="135"/>
      <c r="P23" s="201"/>
      <c r="Q23" s="135"/>
      <c r="R23" s="135"/>
      <c r="S23" s="135">
        <f>SUM(S6:S21)</f>
        <v>2</v>
      </c>
      <c r="T23" s="135"/>
      <c r="U23" s="201"/>
      <c r="V23" s="135"/>
      <c r="W23" s="135"/>
      <c r="X23" s="135">
        <f>SUM(X7:X20)</f>
        <v>0</v>
      </c>
      <c r="Y23" s="135"/>
      <c r="Z23" s="201"/>
      <c r="AA23" s="201"/>
      <c r="AB23" s="132"/>
      <c r="AC23" s="132"/>
      <c r="AD23" s="132"/>
      <c r="AE23" s="132"/>
      <c r="AF23" s="132"/>
      <c r="AG23" s="132"/>
      <c r="AH23" s="132"/>
      <c r="AI23" s="132"/>
      <c r="AJ23" s="132"/>
      <c r="AK23" s="271">
        <f>SUM(H23:Z23)</f>
        <v>5.5</v>
      </c>
      <c r="AL23" s="359">
        <f>SUM(AL7:AL22)</f>
        <v>0</v>
      </c>
      <c r="AN23" s="44"/>
      <c r="AO23" s="114"/>
      <c r="AQ23"/>
    </row>
    <row r="24" spans="1:46" ht="16.5" customHeight="1">
      <c r="A24" s="48"/>
      <c r="B24" s="162"/>
      <c r="C24" s="44"/>
      <c r="D24" s="44"/>
      <c r="E24" s="48"/>
      <c r="F24" s="361"/>
      <c r="G24" s="48"/>
      <c r="H24" s="48"/>
      <c r="I24" s="48"/>
      <c r="J24" s="48"/>
      <c r="L24" s="44"/>
      <c r="AH24" s="114"/>
      <c r="AI24" s="114"/>
      <c r="AJ24" s="114"/>
      <c r="AK24" s="114"/>
      <c r="AL24" s="114"/>
      <c r="AM24" s="114"/>
      <c r="AO24" s="44"/>
      <c r="AP24" s="48"/>
    </row>
    <row r="25" spans="1:46" s="48" customFormat="1" ht="16.5" customHeight="1">
      <c r="A25" s="44"/>
      <c r="H25" s="361"/>
      <c r="I25" s="361">
        <v>33</v>
      </c>
      <c r="J25" s="362"/>
      <c r="K25" s="362"/>
      <c r="L25" s="362"/>
      <c r="M25" s="362"/>
      <c r="N25" s="362">
        <v>8.5</v>
      </c>
      <c r="O25" s="362"/>
      <c r="P25" s="362"/>
      <c r="Q25" s="362"/>
      <c r="R25" s="362"/>
      <c r="S25" s="362">
        <v>6</v>
      </c>
      <c r="T25" s="362"/>
      <c r="U25" s="362"/>
      <c r="V25" s="362"/>
      <c r="W25" s="362"/>
      <c r="X25" s="362">
        <v>4</v>
      </c>
      <c r="Y25" s="362"/>
      <c r="Z25" s="362"/>
      <c r="AA25" s="362"/>
      <c r="AB25" s="362"/>
      <c r="AC25" s="362"/>
      <c r="AD25" s="362"/>
      <c r="AE25" s="362"/>
      <c r="AF25" s="362"/>
      <c r="AG25" s="362"/>
      <c r="AH25" s="44"/>
      <c r="AI25" s="44"/>
      <c r="AJ25" s="44"/>
      <c r="AK25" s="44">
        <f>SUM(I25:X25)</f>
        <v>51.5</v>
      </c>
      <c r="AL25" s="44">
        <v>51.5</v>
      </c>
      <c r="AM25" s="44"/>
      <c r="AN25" s="45"/>
      <c r="AO25" s="45"/>
      <c r="AP25" s="45"/>
    </row>
    <row r="26" spans="1:46" ht="18.75">
      <c r="A26" s="48"/>
      <c r="H26" s="48"/>
      <c r="I26" s="48"/>
      <c r="AP26" s="162"/>
    </row>
    <row r="27" spans="1:46" ht="24.75" customHeight="1">
      <c r="AQ27" s="162"/>
      <c r="AR27" s="162"/>
      <c r="AS27" s="162"/>
      <c r="AT27" s="162"/>
    </row>
    <row r="28" spans="1:46" ht="16.5" customHeight="1"/>
    <row r="29" spans="1:46" ht="24.75" customHeight="1"/>
    <row r="31" spans="1:46" ht="18" customHeight="1"/>
    <row r="33" spans="2:7" ht="27" customHeight="1">
      <c r="B33" s="44"/>
      <c r="C33" s="44" t="s">
        <v>41</v>
      </c>
      <c r="D33" s="44"/>
      <c r="E33" s="48"/>
      <c r="F33" s="48"/>
      <c r="G33" s="361"/>
    </row>
    <row r="34" spans="2:7" ht="27" customHeight="1">
      <c r="B34" s="144" t="s">
        <v>42</v>
      </c>
      <c r="C34" s="214" t="s">
        <v>101</v>
      </c>
      <c r="D34" s="44"/>
      <c r="F34" s="44"/>
      <c r="G34" s="44"/>
    </row>
    <row r="35" spans="2:7" ht="27" customHeight="1">
      <c r="B35" s="145" t="s">
        <v>43</v>
      </c>
      <c r="C35" s="214" t="s">
        <v>102</v>
      </c>
      <c r="D35" s="41"/>
    </row>
    <row r="36" spans="2:7" ht="27" customHeight="1"/>
    <row r="37" spans="2:7" ht="27" customHeight="1"/>
    <row r="38" spans="2:7" ht="27" customHeight="1"/>
    <row r="39" spans="2:7" ht="27" customHeight="1"/>
    <row r="40" spans="2:7" ht="27" customHeight="1"/>
    <row r="41" spans="2:7" ht="27" customHeight="1"/>
    <row r="42" spans="2:7" ht="27" customHeight="1"/>
    <row r="43" spans="2:7" ht="27" customHeight="1"/>
    <row r="44" spans="2:7" ht="27" customHeight="1"/>
    <row r="45" spans="2:7" ht="27" customHeight="1"/>
    <row r="46" spans="2:7" ht="27" customHeight="1"/>
    <row r="47" spans="2:7" ht="27" customHeight="1"/>
    <row r="48" spans="2:7" ht="21" customHeight="1"/>
    <row r="49" ht="21" customHeight="1"/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5:AL5"/>
    <mergeCell ref="AO5:AQ5"/>
  </mergeCells>
  <conditionalFormatting sqref="AJ7:AJ18">
    <cfRule type="duplicateValues" dxfId="12" priority="2"/>
  </conditionalFormatting>
  <conditionalFormatting sqref="AJ7:AJ18">
    <cfRule type="duplicateValues" dxfId="11" priority="1"/>
  </conditionalFormatting>
  <pageMargins left="0.15748031496062992" right="0.18" top="0.21" bottom="0.31496062992125984" header="0.14000000000000001" footer="0.23622047244094491"/>
  <pageSetup orientation="landscape" horizontalDpi="4294967292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00"/>
  </sheetPr>
  <dimension ref="A1:AU47"/>
  <sheetViews>
    <sheetView zoomScale="60" zoomScaleNormal="60" workbookViewId="0">
      <selection activeCell="J30" sqref="J30"/>
    </sheetView>
  </sheetViews>
  <sheetFormatPr baseColWidth="10" defaultRowHeight="15"/>
  <cols>
    <col min="1" max="1" width="6.5703125" style="161" customWidth="1"/>
    <col min="2" max="2" width="27" style="161" customWidth="1"/>
    <col min="3" max="3" width="22.85546875" style="161" customWidth="1"/>
    <col min="4" max="4" width="6.85546875" style="161" customWidth="1"/>
    <col min="5" max="5" width="7" style="161" customWidth="1"/>
    <col min="6" max="6" width="8.7109375" style="161" customWidth="1"/>
    <col min="7" max="7" width="6.7109375" style="161" hidden="1" customWidth="1"/>
    <col min="8" max="8" width="28.28515625" style="161" customWidth="1"/>
    <col min="9" max="9" width="5.42578125" style="161" hidden="1" customWidth="1"/>
    <col min="10" max="10" width="8.140625" style="161" customWidth="1"/>
    <col min="11" max="11" width="9.7109375" style="161" customWidth="1"/>
    <col min="12" max="12" width="7.7109375" style="161" customWidth="1"/>
    <col min="13" max="13" width="29.7109375" style="161" customWidth="1"/>
    <col min="14" max="14" width="8.140625" style="161" hidden="1" customWidth="1"/>
    <col min="15" max="16" width="7" style="161" customWidth="1"/>
    <col min="17" max="17" width="8.5703125" style="161" customWidth="1"/>
    <col min="18" max="18" width="30.42578125" style="161" customWidth="1"/>
    <col min="19" max="19" width="6" style="161" hidden="1" customWidth="1"/>
    <col min="20" max="20" width="9.42578125" style="161" customWidth="1"/>
    <col min="21" max="21" width="6.28515625" style="161" customWidth="1"/>
    <col min="22" max="22" width="8.7109375" style="161" customWidth="1"/>
    <col min="23" max="23" width="35" style="161" customWidth="1"/>
    <col min="24" max="24" width="7.5703125" style="161" hidden="1" customWidth="1"/>
    <col min="25" max="25" width="6.5703125" style="161" customWidth="1"/>
    <col min="26" max="26" width="7.140625" style="161" customWidth="1"/>
    <col min="27" max="27" width="8.28515625" style="161" hidden="1" customWidth="1"/>
    <col min="28" max="28" width="29" style="161" hidden="1" customWidth="1"/>
    <col min="29" max="32" width="8.42578125" style="161" hidden="1" customWidth="1"/>
    <col min="33" max="34" width="11.140625" style="161" hidden="1" customWidth="1"/>
    <col min="35" max="35" width="17" style="161" hidden="1" customWidth="1"/>
    <col min="36" max="36" width="15.85546875" style="161" customWidth="1"/>
    <col min="37" max="37" width="29.5703125" style="161" customWidth="1"/>
    <col min="38" max="38" width="13.5703125" style="161" customWidth="1"/>
    <col min="39" max="39" width="9.5703125" style="161" customWidth="1"/>
    <col min="40" max="40" width="21.5703125" style="161" customWidth="1"/>
    <col min="41" max="41" width="11.28515625" style="161" customWidth="1"/>
    <col min="42" max="42" width="40" style="161" customWidth="1"/>
    <col min="43" max="43" width="12.85546875" style="161" customWidth="1"/>
    <col min="44" max="44" width="10.85546875" style="161" bestFit="1" customWidth="1"/>
    <col min="45" max="45" width="11.42578125" style="161"/>
    <col min="46" max="46" width="11" style="161" customWidth="1"/>
    <col min="47" max="16384" width="11.42578125" style="161"/>
  </cols>
  <sheetData>
    <row r="1" spans="1:43" s="415" customFormat="1" ht="37.5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R1" s="412" t="s">
        <v>138</v>
      </c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</row>
    <row r="2" spans="1:43" ht="25.5" customHeight="1" thickBot="1">
      <c r="A2" s="44"/>
      <c r="B2" s="357" t="s">
        <v>60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R2" s="44"/>
      <c r="S2" s="44"/>
      <c r="T2" s="44"/>
      <c r="U2" s="44"/>
      <c r="V2" s="113"/>
      <c r="W2" s="113"/>
      <c r="X2" s="44"/>
      <c r="Y2" s="44"/>
      <c r="Z2" s="113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43" ht="24.75" customHeight="1">
      <c r="A3" s="44"/>
      <c r="B3" s="44"/>
      <c r="C3" s="44"/>
      <c r="D3" s="44"/>
      <c r="E3" s="44"/>
      <c r="F3" s="44"/>
      <c r="G3" s="44"/>
      <c r="X3" s="46"/>
      <c r="Y3" s="44"/>
      <c r="Z3" s="113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</row>
    <row r="4" spans="1:43" ht="26.25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4"/>
      <c r="Y4" s="44"/>
      <c r="Z4" s="113"/>
      <c r="AA4" s="113"/>
      <c r="AB4" s="113"/>
      <c r="AC4" s="113"/>
      <c r="AD4" s="113"/>
      <c r="AE4" s="113"/>
      <c r="AF4" s="113"/>
      <c r="AG4" s="61"/>
      <c r="AH4" s="61"/>
      <c r="AI4" s="61"/>
      <c r="AJ4" s="61"/>
      <c r="AK4" s="113"/>
      <c r="AL4" s="113"/>
    </row>
    <row r="5" spans="1:43" ht="30.75" customHeight="1" thickBot="1">
      <c r="A5" s="44"/>
      <c r="B5" s="44"/>
      <c r="C5" s="44"/>
      <c r="D5" s="44"/>
      <c r="E5" s="44"/>
      <c r="F5" s="44"/>
      <c r="G5" s="44"/>
      <c r="H5" s="46"/>
      <c r="I5" s="46"/>
      <c r="J5" s="46"/>
      <c r="K5" s="44"/>
      <c r="L5" s="44"/>
      <c r="M5" s="44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44" t="s">
        <v>108</v>
      </c>
      <c r="T5" s="44" t="s">
        <v>107</v>
      </c>
      <c r="U5" s="44"/>
      <c r="V5" s="44"/>
      <c r="W5" s="44"/>
      <c r="X5" s="44"/>
      <c r="Y5" s="44"/>
      <c r="Z5" s="113"/>
      <c r="AA5" s="113"/>
      <c r="AB5" s="113"/>
      <c r="AC5" s="113"/>
      <c r="AD5" s="113"/>
      <c r="AE5" s="113"/>
      <c r="AF5" s="113"/>
      <c r="AG5" s="246"/>
      <c r="AH5" s="246"/>
      <c r="AI5" s="246"/>
      <c r="AJ5" s="246"/>
      <c r="AK5" s="766" t="s">
        <v>129</v>
      </c>
      <c r="AL5" s="767"/>
      <c r="AO5" s="772" t="s">
        <v>113</v>
      </c>
      <c r="AP5" s="773"/>
      <c r="AQ5" s="774"/>
    </row>
    <row r="6" spans="1:43" ht="30" customHeight="1" thickBot="1">
      <c r="A6" s="190"/>
      <c r="B6" s="381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05" t="s">
        <v>108</v>
      </c>
      <c r="J6" s="44" t="s">
        <v>107</v>
      </c>
      <c r="K6" s="44"/>
      <c r="L6" s="668" t="s">
        <v>2</v>
      </c>
      <c r="M6" s="519" t="str">
        <f>IF(J7=J8,"Gagnant du 1",IF(J7&gt;J8,H7,H8))</f>
        <v>Gagnant du 1</v>
      </c>
      <c r="N6" s="171">
        <f>IF(O6=O7,0,IF(O6&lt;O7,0,2))</f>
        <v>0</v>
      </c>
      <c r="O6" s="656"/>
      <c r="P6" s="44"/>
      <c r="Q6" s="668" t="s">
        <v>2</v>
      </c>
      <c r="R6" s="528" t="str">
        <f>IF(O6=O7,"Gagnant du 3",IF(O6&gt;O7,M6,M7))</f>
        <v>Gagnant du 3</v>
      </c>
      <c r="S6" s="171">
        <f>IF(T6=T7,0,IF(T6&lt;T7,0,2))</f>
        <v>0</v>
      </c>
      <c r="T6" s="656"/>
      <c r="U6" s="44"/>
      <c r="V6" s="44"/>
      <c r="W6" s="44" t="s">
        <v>9</v>
      </c>
      <c r="X6" s="405" t="s">
        <v>108</v>
      </c>
      <c r="Y6" s="44" t="s">
        <v>107</v>
      </c>
      <c r="Z6" s="61"/>
      <c r="AA6" s="113"/>
      <c r="AB6" s="151" t="s">
        <v>111</v>
      </c>
      <c r="AC6" s="304" t="s">
        <v>189</v>
      </c>
      <c r="AD6" s="304" t="s">
        <v>190</v>
      </c>
      <c r="AE6" s="304" t="s">
        <v>191</v>
      </c>
      <c r="AF6" s="303" t="s">
        <v>227</v>
      </c>
      <c r="AG6" s="151" t="s">
        <v>193</v>
      </c>
      <c r="AH6" s="295" t="s">
        <v>109</v>
      </c>
      <c r="AI6" s="305" t="s">
        <v>110</v>
      </c>
      <c r="AJ6" s="433" t="s">
        <v>238</v>
      </c>
      <c r="AK6" s="365" t="s">
        <v>111</v>
      </c>
      <c r="AL6" s="365" t="s">
        <v>192</v>
      </c>
      <c r="AN6" s="238" t="s">
        <v>12</v>
      </c>
      <c r="AO6" s="112" t="s">
        <v>56</v>
      </c>
      <c r="AP6" s="239" t="s">
        <v>241</v>
      </c>
      <c r="AQ6" s="239" t="s">
        <v>16</v>
      </c>
    </row>
    <row r="7" spans="1:43" ht="27" customHeight="1" thickBot="1">
      <c r="A7" s="87">
        <v>1</v>
      </c>
      <c r="B7" s="555"/>
      <c r="C7" s="556"/>
      <c r="D7" s="89"/>
      <c r="E7" s="44"/>
      <c r="F7" s="590" t="s">
        <v>2</v>
      </c>
      <c r="G7" s="475">
        <v>1</v>
      </c>
      <c r="H7" s="182" t="str">
        <f>IF(ISNA(MATCH(G7,$D$7:$D$18,0)),"",INDEX(B$7:$B$18,MATCH(G7,$D$7:$D$18,0)))</f>
        <v/>
      </c>
      <c r="I7" s="125">
        <f>IF(J7=J8,0,IF(J7&lt;J8,2,4))</f>
        <v>0</v>
      </c>
      <c r="J7" s="656"/>
      <c r="K7" s="47"/>
      <c r="L7" s="669">
        <v>3</v>
      </c>
      <c r="M7" s="520" t="str">
        <f>IF(J9=J10,"Gagnant du 2",IF(J9&gt;J10,H9,H10))</f>
        <v>Gagnant du 2</v>
      </c>
      <c r="N7" s="129">
        <f>IF(O6=O7,0,IF(O6&gt;O7,0,2))</f>
        <v>0</v>
      </c>
      <c r="O7" s="657"/>
      <c r="P7" s="47"/>
      <c r="Q7" s="669">
        <v>6</v>
      </c>
      <c r="R7" s="627" t="str">
        <f>IF(O8=O9,"Gagnant du 5",IF(O8&gt;O9,M8,M9))</f>
        <v>Gagnant du 5</v>
      </c>
      <c r="S7" s="156">
        <f>IF(T6=T7,0,IF(T6&gt;T7,0,2))</f>
        <v>0</v>
      </c>
      <c r="T7" s="657"/>
      <c r="U7" s="47"/>
      <c r="V7" s="585" t="s">
        <v>2</v>
      </c>
      <c r="W7" s="528" t="str">
        <f>IF(T6=T7,"Gagnant du 6",IF(T6&gt;T7,R6,R7))</f>
        <v>Gagnant du 6</v>
      </c>
      <c r="X7" s="133">
        <f>IF(Y7=Y8,0,IF(Y7&lt;Y8,0,2))</f>
        <v>0</v>
      </c>
      <c r="Y7" s="656"/>
      <c r="Z7" s="61"/>
      <c r="AA7" s="136">
        <v>1</v>
      </c>
      <c r="AB7" s="307">
        <f>+B7</f>
        <v>0</v>
      </c>
      <c r="AC7" s="211" t="str">
        <f>IF(ISNA(VLOOKUP(AB7,$H$7:$I$18,2,0)),"",VLOOKUP(AB7,$H$7:$I$18,2,0))</f>
        <v/>
      </c>
      <c r="AD7" s="211" t="str">
        <f>IF(ISNA(VLOOKUP(AB7,$M$6:$N$20,2,0)),"",VLOOKUP(AB7,$M$6:$N$20,2,0))</f>
        <v/>
      </c>
      <c r="AE7" s="211" t="str">
        <f>IF(ISNA(VLOOKUP(AB7,$R$6:$S$21,3,0)),"",VLOOKUP(AB7,$R$6:$S$21,2,0))</f>
        <v/>
      </c>
      <c r="AF7" s="296" t="str">
        <f>IF(ISNA(VLOOKUP(AB7,$W$7:$X$21,2,0)),"",VLOOKUP(AB7,$W$7:$X$21,2,0))</f>
        <v/>
      </c>
      <c r="AG7" s="346">
        <f>SUM(AC7:AF7)</f>
        <v>0</v>
      </c>
      <c r="AH7" s="299">
        <f>IF(OR(AB7="",AG7=""),"",RANK(AG7,$AG$7:$AG$18)+COUNTIF(AB$7:AB$18,"&lt;="&amp;AB7+1)/10000+ROW()/100000)</f>
        <v>1.0012700000000001</v>
      </c>
      <c r="AI7" s="194">
        <f>IF(AB7="","",SMALL(AH$7:AH$18,ROWS(AL7:AL$7)))</f>
        <v>1.0012700000000001</v>
      </c>
      <c r="AJ7" s="651">
        <f>IF(AI7="","",1)</f>
        <v>1</v>
      </c>
      <c r="AK7" s="445">
        <f>IF(OR(AB7="",AG7=""),"",INDEX($AB$7:$AB$18,MATCH(AI7,$AH$7:$AH$18,0)))</f>
        <v>0</v>
      </c>
      <c r="AL7" s="446">
        <f>IF(AB7="","",INDEX($AG$7:$AG$18,MATCH(AI7,$AH$7:$AH$18,0)))</f>
        <v>0</v>
      </c>
      <c r="AN7" s="585" t="s">
        <v>115</v>
      </c>
      <c r="AO7" s="491">
        <v>2</v>
      </c>
      <c r="AP7" s="136" t="s">
        <v>242</v>
      </c>
      <c r="AQ7" s="256">
        <v>10</v>
      </c>
    </row>
    <row r="8" spans="1:43" ht="27" customHeight="1" thickBot="1">
      <c r="A8" s="94">
        <v>2</v>
      </c>
      <c r="B8" s="557"/>
      <c r="C8" s="558"/>
      <c r="D8" s="96"/>
      <c r="E8" s="44"/>
      <c r="F8" s="591">
        <v>1</v>
      </c>
      <c r="G8" s="476">
        <v>2</v>
      </c>
      <c r="H8" s="183" t="str">
        <f>IF(ISNA(MATCH(G8,$D$7:$D$18,0)),"",INDEX(B$7:$B$18,MATCH(G8,$D$7:$D$18,0)))</f>
        <v/>
      </c>
      <c r="I8" s="129">
        <f>IF(J7=J8,0,IF(J7&gt;J8,2,4))</f>
        <v>0</v>
      </c>
      <c r="J8" s="657"/>
      <c r="K8" s="44"/>
      <c r="L8" s="585" t="s">
        <v>2</v>
      </c>
      <c r="M8" s="521" t="str">
        <f>IF(J11=J12,"Gagnant du 3",IF(J11&gt;J12,H11,H12))</f>
        <v>Gagnant du 3</v>
      </c>
      <c r="N8" s="146">
        <f>IF(O8=O9,0,IF(O8&lt;O9,0,2))</f>
        <v>0</v>
      </c>
      <c r="O8" s="656"/>
      <c r="P8" s="44"/>
      <c r="Q8" s="585" t="s">
        <v>2</v>
      </c>
      <c r="R8" s="164" t="s">
        <v>105</v>
      </c>
      <c r="S8" s="152"/>
      <c r="T8" s="121"/>
      <c r="U8" s="44"/>
      <c r="V8" s="589">
        <v>4</v>
      </c>
      <c r="W8" s="520" t="str">
        <f>IF(T8=T9,"Gagnant du 2",IF(T8&gt;T9,R8,R9))</f>
        <v>Gagnant du 7</v>
      </c>
      <c r="X8" s="129">
        <f>IF(Y7=Y8,0,IF(Y7&gt;Y8,0,2))</f>
        <v>0</v>
      </c>
      <c r="Y8" s="657"/>
      <c r="Z8" s="113"/>
      <c r="AA8" s="137">
        <v>2</v>
      </c>
      <c r="AB8" s="332">
        <f t="shared" ref="AB8:AB18" si="0">+B8</f>
        <v>0</v>
      </c>
      <c r="AC8" s="210" t="str">
        <f t="shared" ref="AC8:AC18" si="1">IF(ISNA(VLOOKUP(AB8,$H$7:$I$18,2,0)),"",VLOOKUP(AB8,$H$7:$I$18,2,0))</f>
        <v/>
      </c>
      <c r="AD8" s="210" t="str">
        <f t="shared" ref="AD8:AD18" si="2">IF(ISNA(VLOOKUP(AB8,$M$6:$N$20,2,0)),"",VLOOKUP(AB8,$M$6:$N$20,2,0))</f>
        <v/>
      </c>
      <c r="AE8" s="210" t="str">
        <f t="shared" ref="AE8:AE18" si="3">IF(ISNA(VLOOKUP(AB8,$R$6:$S$21,3,0)),"",VLOOKUP(AB8,$R$6:$S$21,2,0))</f>
        <v/>
      </c>
      <c r="AF8" s="350" t="str">
        <f t="shared" ref="AF8:AF18" si="4">IF(ISNA(VLOOKUP(AB8,$W$7:$X$21,2,0)),"",VLOOKUP(AB8,$W$7:$X$21,2,0))</f>
        <v/>
      </c>
      <c r="AG8" s="347">
        <f t="shared" ref="AG8:AG18" si="5">SUM(AC8:AF8)</f>
        <v>0</v>
      </c>
      <c r="AH8" s="299">
        <f t="shared" ref="AH8:AH18" si="6">IF(OR(AB8="",AG8=""),"",RANK(AG8,$AG$7:$AG$18)+COUNTIF(AB$7:AB$18,"&lt;="&amp;AB8+1)/10000+ROW()/100000)</f>
        <v>1.0012800000000002</v>
      </c>
      <c r="AI8" s="194">
        <f>IF(AB8="","",SMALL(AH$7:AH$18,ROWS(AL$7:AL8)))</f>
        <v>1.0012800000000002</v>
      </c>
      <c r="AJ8" s="652">
        <f>IF(AI8="","",IF(AND(AL7=AL8),$AJ7,$AJ$7+1))</f>
        <v>1</v>
      </c>
      <c r="AK8" s="437">
        <f t="shared" ref="AK8:AK18" si="7">IF(OR(AB8="",AG8=""),"",INDEX($AB$7:$AB$18,MATCH(AI8,$AH$7:$AH$18,0)))</f>
        <v>0</v>
      </c>
      <c r="AL8" s="438">
        <f t="shared" ref="AL8:AL18" si="8">IF(AB8="","",INDEX($AG$7:$AG$18,MATCH(AI8,$AH$7:$AH$18,0)))</f>
        <v>0</v>
      </c>
      <c r="AN8" s="586" t="s">
        <v>15</v>
      </c>
      <c r="AO8" s="492">
        <v>2</v>
      </c>
      <c r="AP8" s="137" t="s">
        <v>258</v>
      </c>
      <c r="AQ8" s="266" t="s">
        <v>311</v>
      </c>
    </row>
    <row r="9" spans="1:43" ht="27" customHeight="1" thickBot="1">
      <c r="A9" s="94">
        <v>3</v>
      </c>
      <c r="B9" s="559"/>
      <c r="C9" s="560"/>
      <c r="D9" s="96"/>
      <c r="E9" s="44"/>
      <c r="F9" s="590" t="s">
        <v>2</v>
      </c>
      <c r="G9" s="475">
        <v>3</v>
      </c>
      <c r="H9" s="184" t="str">
        <f>IF(ISNA(MATCH(G9,$D$7:$D$18,0)),"",INDEX(B$7:$B$18,MATCH(G9,$D$7:$D$18,0)))</f>
        <v/>
      </c>
      <c r="I9" s="125">
        <f>IF(J9=J10,0,IF(J9&lt;J10,2,4))</f>
        <v>0</v>
      </c>
      <c r="J9" s="658"/>
      <c r="K9" s="44"/>
      <c r="L9" s="589">
        <v>5</v>
      </c>
      <c r="M9" s="520" t="str">
        <f>IF(J13=J14,"Gagnant du 4",IF(J13&gt;J14,H13,H14))</f>
        <v>Gagnant du 4</v>
      </c>
      <c r="N9" s="129">
        <f>IF(O8=O9,0,IF(O8&gt;O9,0,2))</f>
        <v>0</v>
      </c>
      <c r="O9" s="657"/>
      <c r="P9" s="44"/>
      <c r="Q9" s="282">
        <v>2</v>
      </c>
      <c r="R9" s="520" t="str">
        <f>IF(O10=O11,"Gagnant du 7",IF(O10&gt;O11,M10,M11))</f>
        <v>Gagnant du 7</v>
      </c>
      <c r="S9" s="153">
        <v>1</v>
      </c>
      <c r="T9" s="752">
        <v>1</v>
      </c>
      <c r="U9" s="44"/>
      <c r="V9" s="44"/>
      <c r="W9" s="131"/>
      <c r="X9" s="131"/>
      <c r="Y9" s="44"/>
      <c r="Z9" s="113"/>
      <c r="AA9" s="137">
        <v>3</v>
      </c>
      <c r="AB9" s="332">
        <f t="shared" si="0"/>
        <v>0</v>
      </c>
      <c r="AC9" s="210" t="str">
        <f t="shared" si="1"/>
        <v/>
      </c>
      <c r="AD9" s="210" t="str">
        <f t="shared" si="2"/>
        <v/>
      </c>
      <c r="AE9" s="210" t="str">
        <f t="shared" si="3"/>
        <v/>
      </c>
      <c r="AF9" s="350" t="str">
        <f t="shared" si="4"/>
        <v/>
      </c>
      <c r="AG9" s="347">
        <f t="shared" si="5"/>
        <v>0</v>
      </c>
      <c r="AH9" s="299">
        <f t="shared" si="6"/>
        <v>1.00129</v>
      </c>
      <c r="AI9" s="194">
        <f>IF(AB9="","",SMALL(AH$7:AH$18,ROWS(AL$7:AL9)))</f>
        <v>1.00129</v>
      </c>
      <c r="AJ9" s="652">
        <f>IF(AI9="","",IF(AND(AL8=AL9),$AJ8,$AJ$7+2))</f>
        <v>1</v>
      </c>
      <c r="AK9" s="437">
        <f t="shared" si="7"/>
        <v>0</v>
      </c>
      <c r="AL9" s="438">
        <f t="shared" si="8"/>
        <v>0</v>
      </c>
      <c r="AN9" s="586" t="s">
        <v>114</v>
      </c>
      <c r="AO9" s="493">
        <v>2</v>
      </c>
      <c r="AP9" s="138" t="s">
        <v>244</v>
      </c>
      <c r="AQ9" s="258">
        <v>6</v>
      </c>
    </row>
    <row r="10" spans="1:43" ht="27" customHeight="1" thickBot="1">
      <c r="A10" s="94">
        <v>4</v>
      </c>
      <c r="B10" s="557"/>
      <c r="C10" s="558"/>
      <c r="D10" s="96"/>
      <c r="E10" s="44"/>
      <c r="F10" s="591">
        <v>2</v>
      </c>
      <c r="G10" s="476">
        <v>4</v>
      </c>
      <c r="H10" s="185" t="str">
        <f>IF(ISNA(MATCH(G10,$D$7:$D$18,0)),"",INDEX(B$7:$B$18,MATCH(G10,$D$7:$D$18,0)))</f>
        <v/>
      </c>
      <c r="I10" s="129">
        <f>IF(J9=J10,0,IF(J9&gt;J10,2,4))</f>
        <v>0</v>
      </c>
      <c r="J10" s="659"/>
      <c r="K10" s="47"/>
      <c r="L10" s="585" t="s">
        <v>2</v>
      </c>
      <c r="M10" s="529" t="str">
        <f>IF(J15=J16,"Gagnant du 5",IF(J15&gt;J16,H15,H16))</f>
        <v>Gagnant du 5</v>
      </c>
      <c r="N10" s="146">
        <f>IF(O10=O11,0,IF(O10&lt;O11,0,2))</f>
        <v>0</v>
      </c>
      <c r="O10" s="656"/>
      <c r="P10" s="47"/>
      <c r="Q10" s="44"/>
      <c r="R10" s="612" t="s">
        <v>232</v>
      </c>
      <c r="S10" s="131"/>
      <c r="T10" s="44"/>
      <c r="U10" s="47"/>
      <c r="V10" s="44"/>
      <c r="W10" s="131"/>
      <c r="X10" s="131"/>
      <c r="Y10" s="44"/>
      <c r="Z10" s="61"/>
      <c r="AA10" s="137">
        <v>4</v>
      </c>
      <c r="AB10" s="332">
        <f t="shared" si="0"/>
        <v>0</v>
      </c>
      <c r="AC10" s="210" t="str">
        <f t="shared" si="1"/>
        <v/>
      </c>
      <c r="AD10" s="210" t="str">
        <f t="shared" si="2"/>
        <v/>
      </c>
      <c r="AE10" s="210" t="str">
        <f t="shared" si="3"/>
        <v/>
      </c>
      <c r="AF10" s="350" t="str">
        <f t="shared" si="4"/>
        <v/>
      </c>
      <c r="AG10" s="347">
        <f t="shared" si="5"/>
        <v>0</v>
      </c>
      <c r="AH10" s="299">
        <f t="shared" si="6"/>
        <v>1.0013000000000001</v>
      </c>
      <c r="AI10" s="194">
        <f>IF(AB10="","",SMALL(AH$7:AH$18,ROWS(AL$7:AL10)))</f>
        <v>1.0013000000000001</v>
      </c>
      <c r="AJ10" s="652">
        <f>IF(AI10="","",IF(AND(AL9=AL10),$AJ9,$AJ$7+3))</f>
        <v>1</v>
      </c>
      <c r="AK10" s="437">
        <f t="shared" si="7"/>
        <v>0</v>
      </c>
      <c r="AL10" s="438">
        <f t="shared" si="8"/>
        <v>0</v>
      </c>
      <c r="AN10" s="660" t="s">
        <v>118</v>
      </c>
      <c r="AO10" s="491">
        <v>2</v>
      </c>
      <c r="AP10" s="259" t="s">
        <v>247</v>
      </c>
      <c r="AQ10" s="256">
        <v>6</v>
      </c>
    </row>
    <row r="11" spans="1:43" ht="27" customHeight="1" thickBot="1">
      <c r="A11" s="94">
        <v>5</v>
      </c>
      <c r="B11" s="559"/>
      <c r="C11" s="560"/>
      <c r="D11" s="96"/>
      <c r="E11" s="44"/>
      <c r="F11" s="590" t="s">
        <v>2</v>
      </c>
      <c r="G11" s="475">
        <v>5</v>
      </c>
      <c r="H11" s="184" t="str">
        <f>IF(ISNA(MATCH(G11,$D$7:$D$18,0)),"",INDEX(B$7:$B$18,MATCH(G11,$D$7:$D$18,0)))</f>
        <v/>
      </c>
      <c r="I11" s="125">
        <f>IF(J11=J12,0,IF(J11&lt;J12,2,4))</f>
        <v>0</v>
      </c>
      <c r="J11" s="656"/>
      <c r="K11" s="44"/>
      <c r="L11" s="589">
        <v>7</v>
      </c>
      <c r="M11" s="520" t="str">
        <f>IF(J17=J18,"Gagnant du 6",IF(J17&gt;J18,H17,H18))</f>
        <v>Gagnant du 6</v>
      </c>
      <c r="N11" s="129">
        <f>IF(O10=O11,0,IF(O10&gt;O11,0,2))</f>
        <v>0</v>
      </c>
      <c r="O11" s="657"/>
      <c r="P11" s="44"/>
      <c r="Q11" s="44"/>
      <c r="R11" s="131" t="s">
        <v>51</v>
      </c>
      <c r="S11" s="131"/>
      <c r="T11" s="44"/>
      <c r="U11" s="44"/>
      <c r="V11" s="47"/>
      <c r="W11" s="147"/>
      <c r="X11" s="147"/>
      <c r="Y11" s="47"/>
      <c r="Z11" s="113"/>
      <c r="AA11" s="137">
        <v>5</v>
      </c>
      <c r="AB11" s="332">
        <f t="shared" si="0"/>
        <v>0</v>
      </c>
      <c r="AC11" s="210" t="str">
        <f t="shared" si="1"/>
        <v/>
      </c>
      <c r="AD11" s="210" t="str">
        <f t="shared" si="2"/>
        <v/>
      </c>
      <c r="AE11" s="210" t="str">
        <f t="shared" si="3"/>
        <v/>
      </c>
      <c r="AF11" s="350" t="str">
        <f t="shared" si="4"/>
        <v/>
      </c>
      <c r="AG11" s="347">
        <f t="shared" si="5"/>
        <v>0</v>
      </c>
      <c r="AH11" s="299">
        <f t="shared" si="6"/>
        <v>1.0013100000000001</v>
      </c>
      <c r="AI11" s="194">
        <f>IF(AB11="","",SMALL(AH$7:AH$18,ROWS(AL$7:AL11)))</f>
        <v>1.0013100000000001</v>
      </c>
      <c r="AJ11" s="652">
        <f>IF(AI11="","",IF(AND(AL10=AL11),$AJ10,$AJ$7+4))</f>
        <v>1</v>
      </c>
      <c r="AK11" s="437">
        <f t="shared" si="7"/>
        <v>0</v>
      </c>
      <c r="AL11" s="438">
        <f t="shared" si="8"/>
        <v>0</v>
      </c>
      <c r="AN11" s="661" t="s">
        <v>20</v>
      </c>
      <c r="AO11" s="492">
        <v>2</v>
      </c>
      <c r="AP11" s="137" t="s">
        <v>274</v>
      </c>
      <c r="AQ11" s="266">
        <v>4.5</v>
      </c>
    </row>
    <row r="12" spans="1:43" ht="27" customHeight="1" thickBot="1">
      <c r="A12" s="94">
        <v>6</v>
      </c>
      <c r="B12" s="557"/>
      <c r="C12" s="558"/>
      <c r="D12" s="96"/>
      <c r="E12" s="44"/>
      <c r="F12" s="591">
        <v>3</v>
      </c>
      <c r="G12" s="476">
        <v>6</v>
      </c>
      <c r="H12" s="185" t="str">
        <f>IF(ISNA(MATCH(G12,$D$7:$D$18,0)),"",INDEX(B$7:$B$18,MATCH(G12,$D$7:$D$18,0)))</f>
        <v/>
      </c>
      <c r="I12" s="129">
        <f>IF(J11=J12,0,IF(J11&gt;J12,2,4))</f>
        <v>0</v>
      </c>
      <c r="J12" s="657"/>
      <c r="K12" s="44"/>
      <c r="M12" s="655"/>
      <c r="N12" s="192"/>
      <c r="P12" s="44"/>
      <c r="Q12" s="616" t="s">
        <v>2</v>
      </c>
      <c r="R12" s="528" t="str">
        <f>IF(O17=O18,"Gagnant du 2",IF(O17&gt;O18,M17,M18))</f>
        <v>Gagnant du 2</v>
      </c>
      <c r="S12" s="171">
        <f>IF(T12=T13,0,IF(T12&lt;T13,0,1))</f>
        <v>0</v>
      </c>
      <c r="T12" s="631"/>
      <c r="U12" s="44"/>
      <c r="V12" s="44"/>
      <c r="W12" s="131" t="s">
        <v>10</v>
      </c>
      <c r="X12" s="167"/>
      <c r="Y12" s="44"/>
      <c r="Z12" s="61"/>
      <c r="AA12" s="137">
        <v>6</v>
      </c>
      <c r="AB12" s="332">
        <f t="shared" si="0"/>
        <v>0</v>
      </c>
      <c r="AC12" s="210" t="str">
        <f t="shared" si="1"/>
        <v/>
      </c>
      <c r="AD12" s="210" t="str">
        <f t="shared" si="2"/>
        <v/>
      </c>
      <c r="AE12" s="210" t="str">
        <f t="shared" si="3"/>
        <v/>
      </c>
      <c r="AF12" s="350" t="str">
        <f t="shared" si="4"/>
        <v/>
      </c>
      <c r="AG12" s="347">
        <f t="shared" si="5"/>
        <v>0</v>
      </c>
      <c r="AH12" s="299">
        <f t="shared" si="6"/>
        <v>1.00132</v>
      </c>
      <c r="AI12" s="194">
        <f>IF(AB12="","",SMALL(AH$7:AH$18,ROWS(AL$7:AL12)))</f>
        <v>1.00132</v>
      </c>
      <c r="AJ12" s="652">
        <f>IF(AI12="","",IF(AND(AL11=AL12),$AJ11,$AJ$7+5))</f>
        <v>1</v>
      </c>
      <c r="AK12" s="437">
        <f t="shared" si="7"/>
        <v>0</v>
      </c>
      <c r="AL12" s="438">
        <f t="shared" si="8"/>
        <v>0</v>
      </c>
      <c r="AN12" s="661" t="s">
        <v>65</v>
      </c>
      <c r="AO12" s="493">
        <v>2</v>
      </c>
      <c r="AP12" s="138" t="s">
        <v>252</v>
      </c>
      <c r="AQ12" s="266">
        <v>4</v>
      </c>
    </row>
    <row r="13" spans="1:43" ht="27" customHeight="1" thickBot="1">
      <c r="A13" s="94">
        <v>7</v>
      </c>
      <c r="B13" s="559"/>
      <c r="C13" s="560"/>
      <c r="D13" s="96"/>
      <c r="E13" s="44"/>
      <c r="F13" s="590" t="s">
        <v>2</v>
      </c>
      <c r="G13" s="475">
        <v>7</v>
      </c>
      <c r="H13" s="184" t="str">
        <f>IF(ISNA(MATCH(G13,$D$7:$D$18,0)),"",INDEX(B$7:$B$18,MATCH(G13,$D$7:$D$18,0)))</f>
        <v/>
      </c>
      <c r="I13" s="125">
        <f>IF(J13=J14,0,IF(J13&lt;J14,2,4))</f>
        <v>0</v>
      </c>
      <c r="J13" s="658"/>
      <c r="K13" s="44"/>
      <c r="M13" s="655"/>
      <c r="N13" s="192"/>
      <c r="P13" s="44"/>
      <c r="Q13" s="617">
        <v>5</v>
      </c>
      <c r="R13" s="627" t="str">
        <f>IF(O15=O16,"Gagnant du 8",IF(O15&gt;O16,M15,M16))</f>
        <v>Gagnant du 8</v>
      </c>
      <c r="S13" s="156">
        <f>IF(T12=T13,0,IF(T12&gt;T13,0,1))</f>
        <v>0</v>
      </c>
      <c r="T13" s="632"/>
      <c r="U13" s="44"/>
      <c r="V13" s="522" t="s">
        <v>2</v>
      </c>
      <c r="W13" s="528" t="str">
        <f>IF(T14=T15,"Gagnant du 3",IF(T14&gt;T15,R14,R15))</f>
        <v>Gagnant du 4</v>
      </c>
      <c r="X13" s="146">
        <f>IF(Y13=Y14,0,IF(Y13&lt;Y14,0,1))</f>
        <v>0</v>
      </c>
      <c r="Y13" s="631"/>
      <c r="Z13" s="61"/>
      <c r="AA13" s="137">
        <v>7</v>
      </c>
      <c r="AB13" s="332">
        <f t="shared" si="0"/>
        <v>0</v>
      </c>
      <c r="AC13" s="210" t="str">
        <f t="shared" si="1"/>
        <v/>
      </c>
      <c r="AD13" s="210" t="str">
        <f t="shared" si="2"/>
        <v/>
      </c>
      <c r="AE13" s="210" t="str">
        <f t="shared" si="3"/>
        <v/>
      </c>
      <c r="AF13" s="350" t="str">
        <f t="shared" si="4"/>
        <v/>
      </c>
      <c r="AG13" s="347">
        <f t="shared" si="5"/>
        <v>0</v>
      </c>
      <c r="AH13" s="299">
        <f t="shared" si="6"/>
        <v>1.0013300000000001</v>
      </c>
      <c r="AI13" s="194">
        <f>IF(AB13="","",SMALL(AH$7:AH$18,ROWS(AL$7:AL13)))</f>
        <v>1.0013300000000001</v>
      </c>
      <c r="AJ13" s="652">
        <f>IF(AI13="","",IF(AND(AL12=AL13),$AJ12,$AJ$7+6))</f>
        <v>1</v>
      </c>
      <c r="AK13" s="437">
        <f t="shared" si="7"/>
        <v>0</v>
      </c>
      <c r="AL13" s="438">
        <f t="shared" si="8"/>
        <v>0</v>
      </c>
      <c r="AN13" s="663" t="s">
        <v>117</v>
      </c>
      <c r="AO13" s="503">
        <v>2</v>
      </c>
      <c r="AP13" s="259" t="s">
        <v>328</v>
      </c>
      <c r="AQ13" s="256" t="s">
        <v>324</v>
      </c>
    </row>
    <row r="14" spans="1:43" ht="27" customHeight="1" thickBot="1">
      <c r="A14" s="94">
        <v>8</v>
      </c>
      <c r="B14" s="557"/>
      <c r="C14" s="558"/>
      <c r="D14" s="96"/>
      <c r="E14" s="44"/>
      <c r="F14" s="591">
        <v>4</v>
      </c>
      <c r="G14" s="476">
        <v>8</v>
      </c>
      <c r="H14" s="185" t="str">
        <f>IF(ISNA(MATCH(G14,$D$7:$D$18,0)),"",INDEX(B$7:$B$18,MATCH(G14,$D$7:$D$18,0)))</f>
        <v/>
      </c>
      <c r="I14" s="129">
        <f>IF(J13=J14,0,IF(J13&gt;J14,2,4))</f>
        <v>0</v>
      </c>
      <c r="J14" s="659"/>
      <c r="K14" s="44"/>
      <c r="L14" s="44"/>
      <c r="M14" s="131" t="s">
        <v>7</v>
      </c>
      <c r="N14" s="147"/>
      <c r="O14" s="361"/>
      <c r="P14" s="44"/>
      <c r="Q14" s="522" t="s">
        <v>2</v>
      </c>
      <c r="R14" s="528" t="str">
        <f>IF(O19=O20,"Gagnant du 4",IF(O19&gt;O20,M19,M20))</f>
        <v>Gagnant du 4</v>
      </c>
      <c r="S14" s="152">
        <v>0.5</v>
      </c>
      <c r="T14" s="121">
        <v>1</v>
      </c>
      <c r="U14" s="44"/>
      <c r="V14" s="524">
        <v>1</v>
      </c>
      <c r="W14" s="520" t="str">
        <f>IF(T12=T13,"Gagnant du 5",IF(T12&gt;T13,R12,R13))</f>
        <v>Gagnant du 5</v>
      </c>
      <c r="X14" s="129">
        <f>IF(Y13=Y14,0,IF(Y13&gt;Y14,0,1))</f>
        <v>0</v>
      </c>
      <c r="Y14" s="632"/>
      <c r="Z14" s="113"/>
      <c r="AA14" s="137">
        <v>8</v>
      </c>
      <c r="AB14" s="332">
        <f t="shared" si="0"/>
        <v>0</v>
      </c>
      <c r="AC14" s="210" t="str">
        <f t="shared" si="1"/>
        <v/>
      </c>
      <c r="AD14" s="210" t="str">
        <f t="shared" si="2"/>
        <v/>
      </c>
      <c r="AE14" s="210" t="str">
        <f t="shared" si="3"/>
        <v/>
      </c>
      <c r="AF14" s="350" t="str">
        <f t="shared" si="4"/>
        <v/>
      </c>
      <c r="AG14" s="347">
        <f t="shared" si="5"/>
        <v>0</v>
      </c>
      <c r="AH14" s="299">
        <f t="shared" si="6"/>
        <v>1.0013400000000001</v>
      </c>
      <c r="AI14" s="194">
        <f>IF(AB14="","",SMALL(AH$7:AH$18,ROWS(AL$7:AL14)))</f>
        <v>1.0013400000000001</v>
      </c>
      <c r="AJ14" s="652">
        <f>IF(AI14="","",IF(AND(AL13=AL14),$AJ13,$AJ$7+7))</f>
        <v>1</v>
      </c>
      <c r="AK14" s="437">
        <f t="shared" si="7"/>
        <v>0</v>
      </c>
      <c r="AL14" s="438">
        <f t="shared" si="8"/>
        <v>0</v>
      </c>
      <c r="AN14" s="664" t="s">
        <v>18</v>
      </c>
      <c r="AO14" s="492">
        <v>2</v>
      </c>
      <c r="AP14" s="137" t="s">
        <v>250</v>
      </c>
      <c r="AQ14" s="458" t="s">
        <v>318</v>
      </c>
    </row>
    <row r="15" spans="1:43" ht="27" customHeight="1" thickBot="1">
      <c r="A15" s="94">
        <v>9</v>
      </c>
      <c r="B15" s="559"/>
      <c r="C15" s="560"/>
      <c r="D15" s="96"/>
      <c r="E15" s="44"/>
      <c r="F15" s="590" t="s">
        <v>2</v>
      </c>
      <c r="G15" s="475">
        <v>9</v>
      </c>
      <c r="H15" s="184" t="str">
        <f>IF(ISNA(MATCH(G15,$D$7:$D$18,0)),"",INDEX(B$7:$B$18,MATCH(G15,$D$7:$D$18,0)))</f>
        <v/>
      </c>
      <c r="I15" s="125">
        <f>IF(J15=J16,0,IF(J15&lt;J16,2,4))</f>
        <v>0</v>
      </c>
      <c r="J15" s="656"/>
      <c r="K15" s="44"/>
      <c r="L15" s="616" t="s">
        <v>2</v>
      </c>
      <c r="M15" s="528" t="str">
        <f>IF(J7=J8,"Perdant du 1",IF(J7&lt;J8,H7,H8))</f>
        <v>Perdant du 1</v>
      </c>
      <c r="N15" s="171">
        <f>IF(O15=O16,0,IF(O15&lt;O16,0,1))</f>
        <v>0</v>
      </c>
      <c r="O15" s="631"/>
      <c r="P15" s="44"/>
      <c r="Q15" s="282">
        <v>3</v>
      </c>
      <c r="R15" s="118" t="s">
        <v>105</v>
      </c>
      <c r="S15" s="153"/>
      <c r="T15" s="752"/>
      <c r="U15" s="44"/>
      <c r="V15" s="44"/>
      <c r="W15" s="131"/>
      <c r="X15" s="131"/>
      <c r="Y15" s="44"/>
      <c r="Z15" s="113"/>
      <c r="AA15" s="137">
        <v>9</v>
      </c>
      <c r="AB15" s="332">
        <f t="shared" si="0"/>
        <v>0</v>
      </c>
      <c r="AC15" s="210" t="str">
        <f t="shared" si="1"/>
        <v/>
      </c>
      <c r="AD15" s="210" t="str">
        <f t="shared" si="2"/>
        <v/>
      </c>
      <c r="AE15" s="210" t="str">
        <f t="shared" si="3"/>
        <v/>
      </c>
      <c r="AF15" s="350" t="str">
        <f t="shared" si="4"/>
        <v/>
      </c>
      <c r="AG15" s="347">
        <f t="shared" si="5"/>
        <v>0</v>
      </c>
      <c r="AH15" s="299">
        <f t="shared" si="6"/>
        <v>1.0013500000000002</v>
      </c>
      <c r="AI15" s="194">
        <f>IF(AB15="","",SMALL(AH$7:AH$18,ROWS(AL$7:AL15)))</f>
        <v>1.0013500000000002</v>
      </c>
      <c r="AJ15" s="652">
        <f>IF(AI15="","",IF(AND(AL14=AL15),$AJ14,$AJ$7+8))</f>
        <v>1</v>
      </c>
      <c r="AK15" s="437">
        <f t="shared" si="7"/>
        <v>0</v>
      </c>
      <c r="AL15" s="438">
        <f t="shared" si="8"/>
        <v>0</v>
      </c>
      <c r="AN15" s="665" t="s">
        <v>64</v>
      </c>
      <c r="AO15" s="497">
        <v>2</v>
      </c>
      <c r="AP15" s="138" t="s">
        <v>251</v>
      </c>
      <c r="AQ15" s="258">
        <v>3</v>
      </c>
    </row>
    <row r="16" spans="1:43" ht="27" customHeight="1" thickBot="1">
      <c r="A16" s="94">
        <v>10</v>
      </c>
      <c r="B16" s="557"/>
      <c r="C16" s="558"/>
      <c r="D16" s="96"/>
      <c r="E16" s="44"/>
      <c r="F16" s="591">
        <v>5</v>
      </c>
      <c r="G16" s="476">
        <v>10</v>
      </c>
      <c r="H16" s="185" t="str">
        <f>IF(ISNA(MATCH(G16,$D$7:$D$18,0)),"",INDEX(B$7:$B$18,MATCH(G16,$D$7:$D$18,0)))</f>
        <v/>
      </c>
      <c r="I16" s="129">
        <f>IF(J15=J16,0,IF(J15&gt;J16,2,4))</f>
        <v>0</v>
      </c>
      <c r="J16" s="657"/>
      <c r="K16" s="44"/>
      <c r="L16" s="617">
        <v>8</v>
      </c>
      <c r="M16" s="627" t="str">
        <f>IF(J9=J10,"Perdant du 2",IF(J9&lt;J10,H9,H10))</f>
        <v>Perdant du 2</v>
      </c>
      <c r="N16" s="156">
        <f>IF(O15=O16,0,IF(O15&gt;O16,0,1))</f>
        <v>0</v>
      </c>
      <c r="O16" s="632"/>
      <c r="P16" s="44"/>
      <c r="Q16" s="44"/>
      <c r="R16" s="131"/>
      <c r="S16" s="131"/>
      <c r="T16" s="44"/>
      <c r="U16" s="44"/>
      <c r="V16" s="44"/>
      <c r="W16" s="131"/>
      <c r="X16" s="131"/>
      <c r="Y16" s="44"/>
      <c r="Z16" s="113"/>
      <c r="AA16" s="137">
        <v>10</v>
      </c>
      <c r="AB16" s="332">
        <f t="shared" si="0"/>
        <v>0</v>
      </c>
      <c r="AC16" s="210" t="str">
        <f t="shared" si="1"/>
        <v/>
      </c>
      <c r="AD16" s="210" t="str">
        <f t="shared" si="2"/>
        <v/>
      </c>
      <c r="AE16" s="210" t="str">
        <f t="shared" si="3"/>
        <v/>
      </c>
      <c r="AF16" s="350" t="str">
        <f t="shared" si="4"/>
        <v/>
      </c>
      <c r="AG16" s="347">
        <f t="shared" si="5"/>
        <v>0</v>
      </c>
      <c r="AH16" s="299">
        <f t="shared" si="6"/>
        <v>1.00136</v>
      </c>
      <c r="AI16" s="194">
        <f>IF(AB16="","",SMALL(AH$7:AH$18,ROWS(AL$7:AL16)))</f>
        <v>1.00136</v>
      </c>
      <c r="AJ16" s="652">
        <f>IF(AI16="","",IF(AND(AL15=AL16),$AJ15,$AJ$7+9))</f>
        <v>1</v>
      </c>
      <c r="AK16" s="437">
        <f t="shared" si="7"/>
        <v>0</v>
      </c>
      <c r="AL16" s="438">
        <f t="shared" si="8"/>
        <v>0</v>
      </c>
      <c r="AN16" s="265" t="s">
        <v>116</v>
      </c>
      <c r="AO16" s="498">
        <v>2</v>
      </c>
      <c r="AP16" s="241" t="s">
        <v>246</v>
      </c>
      <c r="AQ16" s="136">
        <f t="shared" ref="AQ16:AQ18" si="9">SUM(AO16:AP16)</f>
        <v>2</v>
      </c>
    </row>
    <row r="17" spans="1:47" ht="27" customHeight="1" thickBot="1">
      <c r="A17" s="94">
        <v>11</v>
      </c>
      <c r="B17" s="559"/>
      <c r="C17" s="560"/>
      <c r="D17" s="96"/>
      <c r="E17" s="44"/>
      <c r="F17" s="590" t="s">
        <v>2</v>
      </c>
      <c r="G17" s="475">
        <v>11</v>
      </c>
      <c r="H17" s="184" t="str">
        <f>IF(ISNA(MATCH(G17,$D$7:$D$18,0)),"",INDEX(B$7:$B$18,MATCH(G17,$D$7:$D$18,0)))</f>
        <v/>
      </c>
      <c r="I17" s="125">
        <f>IF(J17=J18,0,IF(J17&lt;J18,2,4))</f>
        <v>0</v>
      </c>
      <c r="J17" s="658"/>
      <c r="K17" s="44"/>
      <c r="L17" s="522" t="s">
        <v>2</v>
      </c>
      <c r="M17" s="521" t="str">
        <f>IF(J11=J12,"Perdant du 3",IF(J11&lt;J12,H11,H12))</f>
        <v>Perdant du 3</v>
      </c>
      <c r="N17" s="146">
        <f>IF(O17=O18,0,IF(O17&lt;O18,0,1))</f>
        <v>0</v>
      </c>
      <c r="O17" s="635"/>
      <c r="P17" s="44"/>
      <c r="Q17" s="44"/>
      <c r="R17" s="131" t="s">
        <v>53</v>
      </c>
      <c r="S17" s="131"/>
      <c r="T17" s="44"/>
      <c r="U17" s="44"/>
      <c r="V17" s="44"/>
      <c r="W17" s="131"/>
      <c r="X17" s="131"/>
      <c r="Y17" s="44"/>
      <c r="Z17" s="113"/>
      <c r="AA17" s="137">
        <v>11</v>
      </c>
      <c r="AB17" s="332">
        <f t="shared" si="0"/>
        <v>0</v>
      </c>
      <c r="AC17" s="210" t="str">
        <f t="shared" si="1"/>
        <v/>
      </c>
      <c r="AD17" s="210" t="str">
        <f t="shared" si="2"/>
        <v/>
      </c>
      <c r="AE17" s="210" t="str">
        <f t="shared" si="3"/>
        <v/>
      </c>
      <c r="AF17" s="350" t="str">
        <f t="shared" si="4"/>
        <v/>
      </c>
      <c r="AG17" s="347">
        <f t="shared" si="5"/>
        <v>0</v>
      </c>
      <c r="AH17" s="299">
        <f t="shared" si="6"/>
        <v>1.0013700000000001</v>
      </c>
      <c r="AI17" s="194">
        <f>IF(AB17="","",SMALL(AH$7:AH$18,ROWS(AL$7:AL17)))</f>
        <v>1.0013700000000001</v>
      </c>
      <c r="AJ17" s="652">
        <f>IF(AI17="","",IF(AND(AL16=AL17),$AJ16,$AJ$7+10))</f>
        <v>1</v>
      </c>
      <c r="AK17" s="437">
        <f t="shared" si="7"/>
        <v>0</v>
      </c>
      <c r="AL17" s="438">
        <f t="shared" si="8"/>
        <v>0</v>
      </c>
      <c r="AN17" s="265" t="s">
        <v>116</v>
      </c>
      <c r="AO17" s="505">
        <v>2</v>
      </c>
      <c r="AP17" s="245" t="s">
        <v>246</v>
      </c>
      <c r="AQ17" s="259">
        <f t="shared" ref="AQ17" si="10">SUM(AO17:AP17)</f>
        <v>2</v>
      </c>
    </row>
    <row r="18" spans="1:47" ht="27" customHeight="1" thickBot="1">
      <c r="A18" s="110">
        <v>12</v>
      </c>
      <c r="B18" s="592"/>
      <c r="C18" s="588"/>
      <c r="D18" s="111"/>
      <c r="E18" s="44"/>
      <c r="F18" s="591">
        <v>6</v>
      </c>
      <c r="G18" s="476">
        <v>12</v>
      </c>
      <c r="H18" s="185" t="str">
        <f>IF(ISNA(MATCH(G18,$D$7:$D$18,0)),"",INDEX(B$7:$B$18,MATCH(G18,$D$7:$D$18,0)))</f>
        <v/>
      </c>
      <c r="I18" s="129">
        <f>IF(J17=J18,0,IF(J17&gt;J18,2,4))</f>
        <v>0</v>
      </c>
      <c r="J18" s="657"/>
      <c r="K18" s="44"/>
      <c r="L18" s="524">
        <v>2</v>
      </c>
      <c r="M18" s="521" t="str">
        <f>IF(J13=J14,"Perdant du 4",IF(J13&lt;J14,H13,H14))</f>
        <v>Perdant du 4</v>
      </c>
      <c r="N18" s="129">
        <f>IF(O17=O18,0,IF(O17&gt;O18,0,1))</f>
        <v>0</v>
      </c>
      <c r="O18" s="632"/>
      <c r="P18" s="44"/>
      <c r="Q18" s="670" t="s">
        <v>2</v>
      </c>
      <c r="R18" s="535" t="str">
        <f>IF(O8=O9,"Perdant du 5",IF(O8&lt;O9,M8,M9))</f>
        <v>Perdant du 5</v>
      </c>
      <c r="S18" s="171">
        <f>IF(T18=T19,0,IF(T18&lt;T19,0,1))</f>
        <v>0</v>
      </c>
      <c r="T18" s="511"/>
      <c r="U18" s="44"/>
      <c r="V18" s="44"/>
      <c r="W18" s="131" t="s">
        <v>11</v>
      </c>
      <c r="X18" s="167"/>
      <c r="Y18" s="44"/>
      <c r="Z18" s="61"/>
      <c r="AA18" s="138">
        <v>12</v>
      </c>
      <c r="AB18" s="333">
        <f t="shared" si="0"/>
        <v>0</v>
      </c>
      <c r="AC18" s="236" t="str">
        <f t="shared" si="1"/>
        <v/>
      </c>
      <c r="AD18" s="236" t="str">
        <f t="shared" si="2"/>
        <v/>
      </c>
      <c r="AE18" s="236" t="str">
        <f t="shared" si="3"/>
        <v/>
      </c>
      <c r="AF18" s="313" t="str">
        <f t="shared" si="4"/>
        <v/>
      </c>
      <c r="AG18" s="348">
        <f t="shared" si="5"/>
        <v>0</v>
      </c>
      <c r="AH18" s="299">
        <f t="shared" si="6"/>
        <v>1.0013800000000002</v>
      </c>
      <c r="AI18" s="194">
        <f>IF(AB18="","",SMALL(AH$7:AH$18,ROWS(AL$7:AL18)))</f>
        <v>1.0013800000000002</v>
      </c>
      <c r="AJ18" s="653">
        <f>IF(AI18="","",IF(AND(AL17=AL18),$AJ17,$AJ$7+11))</f>
        <v>1</v>
      </c>
      <c r="AK18" s="447">
        <f t="shared" si="7"/>
        <v>0</v>
      </c>
      <c r="AL18" s="448">
        <f t="shared" si="8"/>
        <v>0</v>
      </c>
      <c r="AM18" s="267"/>
      <c r="AN18" s="257" t="s">
        <v>116</v>
      </c>
      <c r="AO18" s="500">
        <v>2</v>
      </c>
      <c r="AP18" s="247" t="s">
        <v>246</v>
      </c>
      <c r="AQ18" s="138">
        <f t="shared" si="9"/>
        <v>2</v>
      </c>
    </row>
    <row r="19" spans="1:47" ht="27" customHeight="1" thickBot="1">
      <c r="E19" s="44"/>
      <c r="K19" s="44"/>
      <c r="L19" s="522" t="s">
        <v>2</v>
      </c>
      <c r="M19" s="528" t="str">
        <f>IF(J15=J16,"Perdant du 5",IF(J15&lt;J16,H15,H16))</f>
        <v>Perdant du 5</v>
      </c>
      <c r="N19" s="146">
        <f>IF(O19=O20,0,IF(O19&lt;O20,0,1))</f>
        <v>0</v>
      </c>
      <c r="O19" s="631"/>
      <c r="P19" s="44"/>
      <c r="Q19" s="671">
        <v>4</v>
      </c>
      <c r="R19" s="627" t="str">
        <f>IF(O6=O7,"Perdant du 3",IF(O6&lt;O7,M6,M7))</f>
        <v>Perdant du 3</v>
      </c>
      <c r="S19" s="156">
        <f>IF(T18=T19,0,IF(T18&gt;T19,0,1))</f>
        <v>0</v>
      </c>
      <c r="T19" s="512"/>
      <c r="U19" s="44"/>
      <c r="V19" s="483" t="s">
        <v>2</v>
      </c>
      <c r="W19" s="535" t="str">
        <f>IF(T18=T19,"Gagnant du 4",IF(T18&gt;T19,R18,R19))</f>
        <v>Gagnant du 4</v>
      </c>
      <c r="X19" s="146">
        <f>IF(Y19=Y20,0,IF(Y19&lt;Y20,0,1))</f>
        <v>0</v>
      </c>
      <c r="Y19" s="511"/>
      <c r="Z19" s="61"/>
      <c r="AC19" s="161">
        <f>SUM(AC7:AC18)</f>
        <v>0</v>
      </c>
      <c r="AD19" s="161">
        <f>SUM(AD7:AD18)</f>
        <v>0</v>
      </c>
      <c r="AE19" s="161">
        <f>SUM(AE7:AE18)</f>
        <v>0</v>
      </c>
      <c r="AF19" s="161">
        <f>SUM(AF7:AF18)</f>
        <v>0</v>
      </c>
      <c r="AG19" s="161">
        <f>SUM(AG7:AG18)</f>
        <v>0</v>
      </c>
      <c r="AJ19"/>
    </row>
    <row r="20" spans="1:47" ht="27" customHeight="1" thickBot="1">
      <c r="B20" s="44"/>
      <c r="C20" s="44"/>
      <c r="D20" s="44"/>
      <c r="E20" s="44"/>
      <c r="K20" s="44"/>
      <c r="L20" s="524">
        <v>4</v>
      </c>
      <c r="M20" s="520" t="str">
        <f>IF(J17=J18,"Perdant du 6",IF(J17&lt;J18,H17,H18))</f>
        <v>Perdant du 6</v>
      </c>
      <c r="N20" s="156">
        <f>IF(O19=O20,0,IF(O19&gt;O20,0,1))</f>
        <v>0</v>
      </c>
      <c r="O20" s="632"/>
      <c r="P20" s="44"/>
      <c r="Q20" s="509" t="s">
        <v>2</v>
      </c>
      <c r="R20" s="535" t="str">
        <f>IF(O10=O11,"Perdant du 7",IF(O10&lt;O11,M10,M11))</f>
        <v>Perdant du 7</v>
      </c>
      <c r="S20" s="152">
        <v>0.5</v>
      </c>
      <c r="T20" s="121">
        <v>1</v>
      </c>
      <c r="U20" s="44"/>
      <c r="V20" s="484">
        <v>6</v>
      </c>
      <c r="W20" s="520" t="str">
        <f>IF(T20=T21,"Gagnant du 8",IF(T20&gt;T21,R20,R21))</f>
        <v>Perdant du 7</v>
      </c>
      <c r="X20" s="129">
        <f>IF(Y19=Y20,0,IF(Y19&gt;Y20,0,1))</f>
        <v>0</v>
      </c>
      <c r="Y20" s="512"/>
      <c r="Z20" s="113"/>
      <c r="AJ20"/>
    </row>
    <row r="21" spans="1:47" ht="27" customHeight="1" thickBot="1">
      <c r="B21" s="360" t="s">
        <v>128</v>
      </c>
      <c r="C21" s="44"/>
      <c r="E21" s="44"/>
      <c r="H21" s="144" t="s">
        <v>232</v>
      </c>
      <c r="K21" s="44"/>
      <c r="P21" s="44"/>
      <c r="Q21" s="282">
        <v>8</v>
      </c>
      <c r="R21" s="118" t="s">
        <v>105</v>
      </c>
      <c r="S21" s="153"/>
      <c r="T21" s="752"/>
      <c r="U21" s="44"/>
      <c r="V21" s="44"/>
      <c r="W21" s="44"/>
      <c r="X21" s="44"/>
      <c r="Y21" s="44"/>
      <c r="Z21" s="113"/>
    </row>
    <row r="22" spans="1:47" ht="21" customHeight="1" thickBot="1">
      <c r="B22" s="44" t="s">
        <v>45</v>
      </c>
      <c r="C22" s="44"/>
      <c r="D22" s="44"/>
      <c r="E22" s="44"/>
      <c r="F22" s="44"/>
      <c r="I22" s="44"/>
      <c r="J22" s="44"/>
      <c r="K22" s="44"/>
      <c r="L22" s="44"/>
      <c r="M22" s="44"/>
      <c r="N22" s="113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L22" s="113"/>
    </row>
    <row r="23" spans="1:47" ht="22.5" customHeight="1" thickBot="1">
      <c r="A23" s="44"/>
      <c r="B23" s="44"/>
      <c r="C23" s="44"/>
      <c r="E23" s="44"/>
      <c r="F23" s="47"/>
      <c r="G23" s="44"/>
      <c r="H23" s="274"/>
      <c r="I23" s="135">
        <f>SUM(I7:I18)</f>
        <v>0</v>
      </c>
      <c r="J23" s="252"/>
      <c r="K23" s="201"/>
      <c r="L23" s="135"/>
      <c r="M23" s="135"/>
      <c r="N23" s="131">
        <f>SUM(N6:N20)</f>
        <v>0</v>
      </c>
      <c r="O23" s="135"/>
      <c r="P23" s="201"/>
      <c r="Q23" s="135"/>
      <c r="R23" s="135"/>
      <c r="S23" s="135">
        <f>SUM(S6:S21)</f>
        <v>2</v>
      </c>
      <c r="T23" s="135"/>
      <c r="U23" s="201"/>
      <c r="V23" s="135"/>
      <c r="W23" s="135"/>
      <c r="X23" s="135">
        <f>SUM(X7:X20)</f>
        <v>0</v>
      </c>
      <c r="Y23" s="135"/>
      <c r="Z23" s="201"/>
      <c r="AA23" s="201"/>
      <c r="AB23" s="131"/>
      <c r="AC23" s="131"/>
      <c r="AD23" s="131"/>
      <c r="AE23" s="131"/>
      <c r="AF23" s="131"/>
      <c r="AG23" s="131"/>
      <c r="AH23" s="131"/>
      <c r="AI23" s="131"/>
      <c r="AJ23" s="131"/>
      <c r="AK23" s="271">
        <f>SUM(I23:Z23)</f>
        <v>2</v>
      </c>
      <c r="AL23" s="275">
        <f>SUM(AL7:AL22)</f>
        <v>0</v>
      </c>
      <c r="AN23" s="113"/>
      <c r="AO23" s="113"/>
      <c r="AQ23"/>
    </row>
    <row r="24" spans="1:47" ht="15.75" customHeight="1" thickBot="1">
      <c r="A24" s="44"/>
      <c r="B24" s="44"/>
      <c r="C24" s="44"/>
      <c r="E24" s="44"/>
      <c r="F24" s="361"/>
      <c r="G24" s="44"/>
      <c r="H24" s="47"/>
      <c r="I24" s="47"/>
      <c r="J24" s="44"/>
      <c r="L24" s="44"/>
      <c r="AI24" s="113"/>
      <c r="AJ24" s="113"/>
      <c r="AK24" s="113"/>
      <c r="AL24" s="113"/>
      <c r="AM24" s="113"/>
      <c r="AN24" s="44"/>
      <c r="AO24" s="44"/>
      <c r="AP24" s="44"/>
      <c r="AQ24" s="44"/>
    </row>
    <row r="25" spans="1:47" s="44" customFormat="1" ht="24.75" customHeight="1" thickBot="1">
      <c r="I25" s="44">
        <v>36</v>
      </c>
      <c r="N25" s="44">
        <v>9</v>
      </c>
      <c r="S25" s="44">
        <v>6</v>
      </c>
      <c r="X25" s="44">
        <v>4</v>
      </c>
      <c r="AK25" s="239">
        <f>SUM(I25:Z25)</f>
        <v>55</v>
      </c>
      <c r="AN25" s="161"/>
      <c r="AO25" s="161"/>
      <c r="AP25" s="161"/>
      <c r="AQ25" s="161"/>
    </row>
    <row r="26" spans="1:47" ht="16.5" customHeight="1">
      <c r="AR26" s="162"/>
      <c r="AS26" s="162"/>
      <c r="AT26" s="162"/>
      <c r="AU26" s="162"/>
    </row>
    <row r="27" spans="1:47" ht="24.75" customHeight="1">
      <c r="R27" s="415"/>
    </row>
    <row r="28" spans="1:47" ht="15.75" customHeight="1">
      <c r="E28" s="41"/>
      <c r="F28" s="41"/>
    </row>
    <row r="29" spans="1:47" ht="18" customHeight="1">
      <c r="E29" s="41"/>
      <c r="F29" s="41"/>
      <c r="G29" s="41"/>
    </row>
    <row r="30" spans="1:47" ht="15.75" customHeight="1"/>
    <row r="31" spans="1:47" ht="27" customHeight="1"/>
    <row r="32" spans="1:47" ht="27" customHeight="1"/>
    <row r="33" spans="2:7" ht="27" customHeight="1">
      <c r="B33" s="44"/>
      <c r="C33" s="44" t="s">
        <v>41</v>
      </c>
      <c r="D33" s="44"/>
      <c r="E33" s="44"/>
      <c r="F33" s="44"/>
      <c r="G33" s="44"/>
    </row>
    <row r="34" spans="2:7" ht="27" customHeight="1">
      <c r="B34" s="144" t="s">
        <v>42</v>
      </c>
      <c r="C34" s="214" t="s">
        <v>101</v>
      </c>
      <c r="D34" s="44"/>
    </row>
    <row r="35" spans="2:7" ht="27" customHeight="1">
      <c r="B35" s="145" t="s">
        <v>43</v>
      </c>
      <c r="C35" s="214" t="s">
        <v>102</v>
      </c>
      <c r="D35" s="41"/>
    </row>
    <row r="36" spans="2:7" ht="27" customHeight="1"/>
    <row r="37" spans="2:7" ht="27" customHeight="1"/>
    <row r="38" spans="2:7" ht="27" customHeight="1"/>
    <row r="39" spans="2:7" ht="27" customHeight="1"/>
    <row r="40" spans="2:7" ht="27" customHeight="1"/>
    <row r="41" spans="2:7" ht="27" customHeight="1"/>
    <row r="42" spans="2:7" ht="27" customHeight="1"/>
    <row r="43" spans="2:7" ht="27" customHeight="1"/>
    <row r="44" spans="2:7" ht="27" customHeight="1"/>
    <row r="45" spans="2:7" ht="27" customHeight="1"/>
    <row r="46" spans="2:7" ht="22.5" customHeight="1"/>
    <row r="47" spans="2:7" ht="21.75" customHeight="1"/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5:AL5"/>
    <mergeCell ref="AO5:AQ5"/>
  </mergeCells>
  <conditionalFormatting sqref="AJ7:AJ18">
    <cfRule type="duplicateValues" dxfId="10" priority="1"/>
  </conditionalFormatting>
  <pageMargins left="0.39" right="0.38" top="0.23622047244094491" bottom="0.31496062992125984" header="0.11811023622047245" footer="0.23622047244094491"/>
  <pageSetup paperSize="9" orientation="landscape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00"/>
  </sheetPr>
  <dimension ref="A1:AR35"/>
  <sheetViews>
    <sheetView tabSelected="1" zoomScale="60" zoomScaleNormal="60" workbookViewId="0">
      <selection activeCell="R27" sqref="R27"/>
    </sheetView>
  </sheetViews>
  <sheetFormatPr baseColWidth="10" defaultRowHeight="15"/>
  <cols>
    <col min="1" max="1" width="6.85546875" style="161" customWidth="1"/>
    <col min="2" max="2" width="28" style="161" customWidth="1"/>
    <col min="3" max="3" width="20.5703125" style="161" customWidth="1"/>
    <col min="4" max="4" width="9.5703125" style="161" customWidth="1"/>
    <col min="5" max="5" width="6.140625" style="161" customWidth="1"/>
    <col min="6" max="6" width="7" style="161" customWidth="1"/>
    <col min="7" max="7" width="4" style="161" hidden="1" customWidth="1"/>
    <col min="8" max="8" width="27.42578125" style="161" customWidth="1"/>
    <col min="9" max="9" width="6" style="161" hidden="1" customWidth="1"/>
    <col min="10" max="10" width="7.5703125" style="161" customWidth="1"/>
    <col min="11" max="11" width="6.7109375" style="161" customWidth="1"/>
    <col min="12" max="12" width="9.42578125" style="161" customWidth="1"/>
    <col min="13" max="13" width="28.5703125" style="161" customWidth="1"/>
    <col min="14" max="14" width="5.7109375" style="161" hidden="1" customWidth="1"/>
    <col min="15" max="15" width="7.5703125" style="161" bestFit="1" customWidth="1"/>
    <col min="16" max="16" width="4.7109375" style="161" customWidth="1"/>
    <col min="17" max="17" width="9.85546875" style="161" customWidth="1"/>
    <col min="18" max="18" width="28" style="161" customWidth="1"/>
    <col min="19" max="19" width="8.5703125" style="161" hidden="1" customWidth="1"/>
    <col min="20" max="20" width="7.5703125" style="161" customWidth="1"/>
    <col min="21" max="21" width="7.85546875" style="161" customWidth="1"/>
    <col min="22" max="22" width="6.7109375" style="161" customWidth="1"/>
    <col min="23" max="23" width="27.28515625" style="161" customWidth="1"/>
    <col min="24" max="24" width="3.85546875" style="161" hidden="1" customWidth="1"/>
    <col min="25" max="25" width="7" style="161" customWidth="1"/>
    <col min="26" max="26" width="5.140625" style="161" customWidth="1"/>
    <col min="27" max="27" width="8.28515625" style="161" hidden="1" customWidth="1"/>
    <col min="28" max="28" width="8.5703125" style="161" hidden="1" customWidth="1"/>
    <col min="29" max="29" width="11" style="161" hidden="1" customWidth="1"/>
    <col min="30" max="30" width="7.140625" style="161" hidden="1" customWidth="1"/>
    <col min="31" max="31" width="10.28515625" style="161" hidden="1" customWidth="1"/>
    <col min="32" max="33" width="11.7109375" style="161" hidden="1" customWidth="1"/>
    <col min="34" max="34" width="13.85546875" style="161" hidden="1" customWidth="1"/>
    <col min="35" max="35" width="14.5703125" style="161" hidden="1" customWidth="1"/>
    <col min="36" max="36" width="12.7109375" style="161" customWidth="1"/>
    <col min="37" max="37" width="28.42578125" style="161" customWidth="1"/>
    <col min="38" max="38" width="17.140625" style="161" customWidth="1"/>
    <col min="39" max="39" width="6.85546875" style="161" customWidth="1"/>
    <col min="40" max="40" width="20.7109375" style="161" customWidth="1"/>
    <col min="41" max="41" width="10.85546875" style="161" customWidth="1"/>
    <col min="42" max="42" width="50" style="161" customWidth="1"/>
    <col min="43" max="43" width="17.28515625" style="161" customWidth="1"/>
    <col min="44" max="44" width="12.42578125" style="161" customWidth="1"/>
    <col min="45" max="16384" width="11.42578125" style="161"/>
  </cols>
  <sheetData>
    <row r="1" spans="1:43" s="415" customFormat="1" ht="36.75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R1" s="412" t="s">
        <v>138</v>
      </c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</row>
    <row r="2" spans="1:43" ht="26.1" customHeight="1" thickBot="1">
      <c r="A2" s="44"/>
      <c r="B2" s="357" t="s">
        <v>48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R2" s="44"/>
      <c r="S2" s="44"/>
      <c r="T2" s="44"/>
      <c r="U2" s="44"/>
      <c r="V2" s="113"/>
      <c r="W2" s="113"/>
      <c r="X2" s="44"/>
      <c r="Y2" s="44"/>
      <c r="Z2" s="113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43" ht="26.1" customHeight="1" thickBot="1">
      <c r="A3" s="44"/>
      <c r="B3" s="44"/>
      <c r="C3" s="44"/>
      <c r="D3" s="44"/>
      <c r="E3" s="44"/>
      <c r="F3" s="44"/>
      <c r="G3" s="44"/>
      <c r="X3" s="46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</row>
    <row r="4" spans="1:43" ht="25.5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4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/>
      <c r="AL4"/>
      <c r="AO4" s="772" t="s">
        <v>113</v>
      </c>
      <c r="AP4" s="773"/>
      <c r="AQ4" s="774"/>
    </row>
    <row r="5" spans="1:43" ht="26.1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405" t="s">
        <v>108</v>
      </c>
      <c r="J5" s="44" t="s">
        <v>107</v>
      </c>
      <c r="K5" s="44"/>
      <c r="L5" s="570" t="s">
        <v>2</v>
      </c>
      <c r="M5" s="519" t="str">
        <f>IF(J6=J7,"Gagnant du 1",IF(J6&gt;J7,H6,H7))</f>
        <v>Gagnant du 1</v>
      </c>
      <c r="N5" s="133">
        <f>IF(O5=O6,0,IF(O5&lt;O6,0,2))</f>
        <v>0</v>
      </c>
      <c r="O5" s="576"/>
      <c r="P5" s="44"/>
      <c r="Q5" s="44"/>
      <c r="R5" s="44" t="s">
        <v>49</v>
      </c>
      <c r="S5" s="405" t="s">
        <v>108</v>
      </c>
      <c r="T5" s="44" t="s">
        <v>107</v>
      </c>
      <c r="U5" s="44"/>
      <c r="V5" s="44"/>
      <c r="W5" s="44"/>
      <c r="X5" s="44"/>
      <c r="Y5" s="44"/>
      <c r="Z5" s="61"/>
      <c r="AA5" s="113"/>
      <c r="AB5" s="151" t="s">
        <v>111</v>
      </c>
      <c r="AC5" s="238" t="s">
        <v>189</v>
      </c>
      <c r="AD5" s="238" t="s">
        <v>190</v>
      </c>
      <c r="AE5" s="238" t="s">
        <v>191</v>
      </c>
      <c r="AF5" s="141" t="s">
        <v>227</v>
      </c>
      <c r="AG5" s="151" t="s">
        <v>193</v>
      </c>
      <c r="AH5" s="295" t="s">
        <v>109</v>
      </c>
      <c r="AI5" s="305" t="s">
        <v>110</v>
      </c>
      <c r="AJ5" s="433" t="s">
        <v>238</v>
      </c>
      <c r="AK5" s="366" t="s">
        <v>111</v>
      </c>
      <c r="AL5" s="366" t="s">
        <v>192</v>
      </c>
      <c r="AN5" s="238" t="s">
        <v>12</v>
      </c>
      <c r="AO5" s="112" t="s">
        <v>56</v>
      </c>
      <c r="AP5" s="239" t="s">
        <v>241</v>
      </c>
      <c r="AQ5" s="239" t="s">
        <v>16</v>
      </c>
    </row>
    <row r="6" spans="1:43" ht="26.1" customHeight="1" thickBot="1">
      <c r="A6" s="87">
        <v>1</v>
      </c>
      <c r="B6" s="555"/>
      <c r="C6" s="556"/>
      <c r="D6" s="89"/>
      <c r="E6" s="44"/>
      <c r="F6" s="573" t="s">
        <v>2</v>
      </c>
      <c r="G6" s="475">
        <v>1</v>
      </c>
      <c r="H6" s="182" t="str">
        <f>IF(ISNA(MATCH(G6,$D$6:$D$19,0)),"",INDEX(B$6:$B$19,MATCH(G6,$D$6:$D$19,0)))</f>
        <v/>
      </c>
      <c r="I6" s="125">
        <f>IF(J6=J7,0,IF(J6&lt;J7,2,4))</f>
        <v>0</v>
      </c>
      <c r="J6" s="576"/>
      <c r="K6" s="47"/>
      <c r="L6" s="571">
        <v>3</v>
      </c>
      <c r="M6" s="520" t="str">
        <f>IF(J8=J9,"Gagnant du 2",IF(J8&gt;J9,H8,H9))</f>
        <v>Gagnant du 2</v>
      </c>
      <c r="N6" s="129">
        <f>IF(O5=O6,0,IF(O5&gt;O6,0,2))</f>
        <v>0</v>
      </c>
      <c r="O6" s="577"/>
      <c r="P6" s="44"/>
      <c r="Q6" s="570" t="s">
        <v>2</v>
      </c>
      <c r="R6" s="528" t="str">
        <f>IF(O5=O6,"Gagnant du 3",IF(O5&gt;O6,M5,M6))</f>
        <v>Gagnant du 3</v>
      </c>
      <c r="S6" s="133">
        <f>IF(T6=T7,0,IF(T6&lt;T7,0,2))</f>
        <v>0</v>
      </c>
      <c r="T6" s="576"/>
      <c r="U6" s="44"/>
      <c r="V6" s="44"/>
      <c r="W6" s="44" t="s">
        <v>9</v>
      </c>
      <c r="X6" s="405" t="s">
        <v>108</v>
      </c>
      <c r="Y6" s="44" t="s">
        <v>107</v>
      </c>
      <c r="Z6" s="61"/>
      <c r="AA6" s="136">
        <v>1</v>
      </c>
      <c r="AB6" s="307">
        <f>+B6</f>
        <v>0</v>
      </c>
      <c r="AC6" s="211" t="str">
        <f>IF(ISNA(VLOOKUP(AB6,$H$6:$I$19,2,0)),"",VLOOKUP(AB6,$H$6:$I$19,2,0))</f>
        <v/>
      </c>
      <c r="AD6" s="211" t="str">
        <f>IF(ISNA(VLOOKUP(AB6,$M$5:$N$21,2,0)),"",VLOOKUP(AB6,$M$5:$N$21,2,0))</f>
        <v/>
      </c>
      <c r="AE6" s="211" t="str">
        <f>IF(ISNA(VLOOKUP(AB6,$R$6:$S$21,3,0)),"",VLOOKUP(AB6,$R$6:$S$21,2,0))</f>
        <v/>
      </c>
      <c r="AF6" s="269" t="str">
        <f>IF(ISNA(VLOOKUP(AB6,$W$7:$X$21,2,0)),"",VLOOKUP(AB6,$W$7:$X$21,2,0))</f>
        <v/>
      </c>
      <c r="AG6" s="346">
        <f>SUM(AC6:AF6)</f>
        <v>0</v>
      </c>
      <c r="AH6" s="299">
        <f>IF(OR(AB6="",AG6=""),"",RANK(AG6,$AG$6:$AG$19)+COUNTIF(AB$6:AB$19,"&lt;="&amp;AB6+1)/10000+ROW()/100000)</f>
        <v>1.00136</v>
      </c>
      <c r="AI6" s="194">
        <f>IF(AB6="","",SMALL(AH$6:AH$19,ROWS(AL$6:AL6)))</f>
        <v>1.0001899999999999</v>
      </c>
      <c r="AJ6" s="651">
        <f>IF(AI6="","",1)</f>
        <v>1</v>
      </c>
      <c r="AK6" s="654" t="str">
        <f>IF(OR(AB6="",AG6=""),"",INDEX($AB$6:$AB$19,MATCH(AI6,$AH$6:$AH$19,0)))</f>
        <v>OFFICE</v>
      </c>
      <c r="AL6" s="737">
        <f>IF(AB6="","",INDEX($AG$6:$AG$19,MATCH(AI6,$AH$6:$AH$19,0)))</f>
        <v>0</v>
      </c>
      <c r="AN6" s="585" t="s">
        <v>115</v>
      </c>
      <c r="AO6" s="491">
        <v>2</v>
      </c>
      <c r="AP6" s="136" t="s">
        <v>242</v>
      </c>
      <c r="AQ6" s="256" t="s">
        <v>323</v>
      </c>
    </row>
    <row r="7" spans="1:43" ht="26.1" customHeight="1" thickBot="1">
      <c r="A7" s="94">
        <v>2</v>
      </c>
      <c r="B7" s="557"/>
      <c r="C7" s="558"/>
      <c r="D7" s="96"/>
      <c r="E7" s="44"/>
      <c r="F7" s="574">
        <v>1</v>
      </c>
      <c r="G7" s="476">
        <v>2</v>
      </c>
      <c r="H7" s="183" t="str">
        <f>IF(ISNA(MATCH(G7,$D$6:$D$19,0)),"",INDEX(B$6:$B$19,MATCH(G7,$D$6:$D$19,0)))</f>
        <v/>
      </c>
      <c r="I7" s="129">
        <f>IF(J6=J7,0,IF(J6&gt;J7,2,4))</f>
        <v>0</v>
      </c>
      <c r="J7" s="577"/>
      <c r="K7" s="44"/>
      <c r="L7" s="570" t="s">
        <v>2</v>
      </c>
      <c r="M7" s="521" t="str">
        <f>IF(J10=J11,"Gagnant du 3",IF(J10&gt;J11,H10,H11))</f>
        <v>Gagnant du 3</v>
      </c>
      <c r="N7" s="146">
        <f>IF(O7=O8,0,IF(O7&lt;O8,0,2))</f>
        <v>0</v>
      </c>
      <c r="O7" s="576"/>
      <c r="P7" s="47"/>
      <c r="Q7" s="571">
        <v>6</v>
      </c>
      <c r="R7" s="521" t="str">
        <f>IF(O7=O8,"Gagnant du 5",IF(O7&gt;O8,M7,M8))</f>
        <v>Gagnant du 5</v>
      </c>
      <c r="S7" s="129">
        <f>IF(T6=T7,0,IF(T6&gt;T7,0,2))</f>
        <v>0</v>
      </c>
      <c r="T7" s="577"/>
      <c r="U7" s="47"/>
      <c r="V7" s="570" t="s">
        <v>2</v>
      </c>
      <c r="W7" s="528" t="str">
        <f>IF(T6=T7,"Gagnant du 6",IF(T6&gt;T7,R6,R7))</f>
        <v>Gagnant du 6</v>
      </c>
      <c r="X7" s="133">
        <f>IF(Y7=Y8,0,IF(Y7&lt;Y8,0,2))</f>
        <v>0</v>
      </c>
      <c r="Y7" s="576"/>
      <c r="Z7" s="113"/>
      <c r="AA7" s="137">
        <v>2</v>
      </c>
      <c r="AB7" s="332">
        <f>+B7</f>
        <v>0</v>
      </c>
      <c r="AC7" s="210" t="str">
        <f t="shared" ref="AC7:AC19" si="0">IF(ISNA(VLOOKUP(AB7,$H$6:$I$19,2,0)),"",VLOOKUP(AB7,$H$6:$I$19,2,0))</f>
        <v/>
      </c>
      <c r="AD7" s="210" t="str">
        <f t="shared" ref="AD7:AD18" si="1">IF(ISNA(VLOOKUP(AB7,$M$5:$N$21,2,0)),"",VLOOKUP(AB7,$M$5:$N$21,2,0))</f>
        <v/>
      </c>
      <c r="AE7" s="210" t="str">
        <f t="shared" ref="AE7:AE18" si="2">IF(ISNA(VLOOKUP(AB7,$R$6:$S$21,3,0)),"",VLOOKUP(AB7,$R$6:$S$21,2,0))</f>
        <v/>
      </c>
      <c r="AF7" s="157" t="str">
        <f t="shared" ref="AF7:AF18" si="3">IF(ISNA(VLOOKUP(AB7,$W$7:$X$21,2,0)),"",VLOOKUP(AB7,$W$7:$X$21,2,0))</f>
        <v/>
      </c>
      <c r="AG7" s="347">
        <f t="shared" ref="AG7:AG18" si="4">SUM(AC7:AF7)</f>
        <v>0</v>
      </c>
      <c r="AH7" s="299">
        <f t="shared" ref="AH7:AH19" si="5">IF(OR(AB7="",AG7=""),"",RANK(AG7,$AG$6:$AG$19)+COUNTIF(AB$6:AB$19,"&lt;="&amp;AB7+1)/10000+ROW()/100000)</f>
        <v>1.0013700000000001</v>
      </c>
      <c r="AI7" s="194">
        <f>IF(AB7="","",SMALL(AH$6:AH$19,ROWS(AL$6:AL7)))</f>
        <v>1.00136</v>
      </c>
      <c r="AJ7" s="754">
        <f>IF(AI7="","",IF(AND(AL6=AL7),$AJ6,$AJ$6+1))</f>
        <v>1</v>
      </c>
      <c r="AK7" s="437">
        <f t="shared" ref="AK7:AK19" si="6">IF(OR(AB7="",AG7=""),"",INDEX($AB$6:$AB$19,MATCH(AI7,$AH$6:$AH$19,0)))</f>
        <v>0</v>
      </c>
      <c r="AL7" s="438">
        <f t="shared" ref="AL7:AL19" si="7">IF(AB7="","",INDEX($AG$6:$AG$19,MATCH(AI7,$AH$6:$AH$19,0)))</f>
        <v>0</v>
      </c>
      <c r="AN7" s="586" t="s">
        <v>15</v>
      </c>
      <c r="AO7" s="492">
        <v>2</v>
      </c>
      <c r="AP7" s="137" t="s">
        <v>243</v>
      </c>
      <c r="AQ7" s="266" t="s">
        <v>311</v>
      </c>
    </row>
    <row r="8" spans="1:43" ht="26.1" customHeight="1" thickBot="1">
      <c r="A8" s="94">
        <v>3</v>
      </c>
      <c r="B8" s="559"/>
      <c r="C8" s="560"/>
      <c r="D8" s="89"/>
      <c r="E8" s="44"/>
      <c r="F8" s="573" t="s">
        <v>2</v>
      </c>
      <c r="G8" s="475">
        <v>3</v>
      </c>
      <c r="H8" s="184" t="str">
        <f>IF(ISNA(MATCH(G8,$D$6:$D$19,0)),"",INDEX(B$6:$B$19,MATCH(G8,$D$6:$D$19,0)))</f>
        <v/>
      </c>
      <c r="I8" s="125">
        <f>IF(J8=J9,0,IF(J8&lt;J9,2,4))</f>
        <v>0</v>
      </c>
      <c r="J8" s="578"/>
      <c r="K8" s="44"/>
      <c r="L8" s="571">
        <v>5</v>
      </c>
      <c r="M8" s="520" t="str">
        <f>IF(J12=J13,"Gagnant du 4",IF(J12&gt;J13,H12,H13))</f>
        <v>Gagnant du 4</v>
      </c>
      <c r="N8" s="129">
        <v>2</v>
      </c>
      <c r="O8" s="577"/>
      <c r="P8" s="44"/>
      <c r="Q8" s="570" t="s">
        <v>2</v>
      </c>
      <c r="R8" s="528" t="str">
        <f>IF(O11=O12,"Gagnant du 1",IF(O11&gt;O12,M11,M12))</f>
        <v>Gagnant du 1</v>
      </c>
      <c r="S8" s="146">
        <f>IF(T8=T9,0,IF(T8&lt;T9,0,2))</f>
        <v>0</v>
      </c>
      <c r="T8" s="576"/>
      <c r="U8" s="44"/>
      <c r="V8" s="571">
        <v>4</v>
      </c>
      <c r="W8" s="520" t="str">
        <f>IF(T8=T9,"Gagnant du 2",IF(T8&gt;T9,R8,R9))</f>
        <v>Gagnant du 2</v>
      </c>
      <c r="X8" s="129">
        <f>IF(Y7=Y8,0,IF(Y7&gt;Y8,0,2))</f>
        <v>0</v>
      </c>
      <c r="Y8" s="577"/>
      <c r="Z8" s="113"/>
      <c r="AA8" s="137">
        <v>3</v>
      </c>
      <c r="AB8" s="332">
        <f t="shared" ref="AB8:AB19" si="8">+B8</f>
        <v>0</v>
      </c>
      <c r="AC8" s="210" t="str">
        <f t="shared" si="0"/>
        <v/>
      </c>
      <c r="AD8" s="210" t="str">
        <f t="shared" si="1"/>
        <v/>
      </c>
      <c r="AE8" s="210" t="str">
        <f t="shared" si="2"/>
        <v/>
      </c>
      <c r="AF8" s="157" t="str">
        <f t="shared" si="3"/>
        <v/>
      </c>
      <c r="AG8" s="347">
        <f t="shared" si="4"/>
        <v>0</v>
      </c>
      <c r="AH8" s="299">
        <f t="shared" si="5"/>
        <v>1.0013800000000002</v>
      </c>
      <c r="AI8" s="194">
        <f>IF(AB8="","",SMALL(AH$6:AH$19,ROWS(AL$6:AL8)))</f>
        <v>1.0013700000000001</v>
      </c>
      <c r="AJ8" s="652">
        <f>IF(AI8="","",IF(AND(AL7=AL8),$AJ7,$AJ$6+2))</f>
        <v>1</v>
      </c>
      <c r="AK8" s="437">
        <f t="shared" si="6"/>
        <v>0</v>
      </c>
      <c r="AL8" s="438">
        <f t="shared" si="7"/>
        <v>0</v>
      </c>
      <c r="AN8" s="586" t="s">
        <v>114</v>
      </c>
      <c r="AO8" s="492">
        <v>2</v>
      </c>
      <c r="AP8" s="137" t="s">
        <v>244</v>
      </c>
      <c r="AQ8" s="266" t="s">
        <v>316</v>
      </c>
    </row>
    <row r="9" spans="1:43" ht="26.1" customHeight="1" thickBot="1">
      <c r="A9" s="94">
        <v>4</v>
      </c>
      <c r="B9" s="557"/>
      <c r="C9" s="558"/>
      <c r="D9" s="96"/>
      <c r="E9" s="44"/>
      <c r="F9" s="574">
        <v>2</v>
      </c>
      <c r="G9" s="476">
        <v>4</v>
      </c>
      <c r="H9" s="185" t="str">
        <f>IF(ISNA(MATCH(G9,$D$6:$D$19,0)),"",INDEX(B$6:$B$19,MATCH(G9,$D$6:$D$19,0)))</f>
        <v/>
      </c>
      <c r="I9" s="129">
        <f>IF(J8=J9,0,IF(J8&gt;J9,2,4))</f>
        <v>0</v>
      </c>
      <c r="J9" s="579"/>
      <c r="K9" s="47"/>
      <c r="L9" s="570" t="s">
        <v>2</v>
      </c>
      <c r="M9" s="519" t="str">
        <f>IF(J14=J15,"Gagnant du 5",IF(J14&gt;J15,H14,H15))</f>
        <v>Gagnant du 5</v>
      </c>
      <c r="N9" s="152">
        <v>1</v>
      </c>
      <c r="O9" s="121">
        <v>1</v>
      </c>
      <c r="P9" s="44"/>
      <c r="Q9" s="571">
        <v>2</v>
      </c>
      <c r="R9" s="520" t="str">
        <f>IF(O9=O10,"Gagnant du 7",IF(O9&gt;O10,M9,M10))</f>
        <v>Gagnant du 5</v>
      </c>
      <c r="S9" s="129">
        <f>IF(T8=T9,0,IF(T8&gt;T9,0,2))</f>
        <v>0</v>
      </c>
      <c r="T9" s="577"/>
      <c r="U9" s="44"/>
      <c r="V9" s="44"/>
      <c r="W9" s="131"/>
      <c r="X9" s="131"/>
      <c r="Y9" s="44"/>
      <c r="Z9" s="61"/>
      <c r="AA9" s="137">
        <v>4</v>
      </c>
      <c r="AB9" s="332">
        <f t="shared" si="8"/>
        <v>0</v>
      </c>
      <c r="AC9" s="210" t="str">
        <f t="shared" si="0"/>
        <v/>
      </c>
      <c r="AD9" s="210" t="str">
        <f t="shared" si="1"/>
        <v/>
      </c>
      <c r="AE9" s="210" t="str">
        <f t="shared" si="2"/>
        <v/>
      </c>
      <c r="AF9" s="157" t="str">
        <f t="shared" si="3"/>
        <v/>
      </c>
      <c r="AG9" s="347">
        <f t="shared" si="4"/>
        <v>0</v>
      </c>
      <c r="AH9" s="299">
        <f t="shared" si="5"/>
        <v>1.00139</v>
      </c>
      <c r="AI9" s="194">
        <f>IF(AB9="","",SMALL(AH$6:AH$19,ROWS(AL$6:AL9)))</f>
        <v>1.0013800000000002</v>
      </c>
      <c r="AJ9" s="652">
        <f>IF(AI9="","",IF(AND(AL8=AL9),$AJ8,$AJ$6+3))</f>
        <v>1</v>
      </c>
      <c r="AK9" s="437">
        <f t="shared" si="6"/>
        <v>0</v>
      </c>
      <c r="AL9" s="438">
        <f t="shared" si="7"/>
        <v>0</v>
      </c>
      <c r="AN9" s="586" t="s">
        <v>114</v>
      </c>
      <c r="AO9" s="493">
        <v>2</v>
      </c>
      <c r="AP9" s="138" t="s">
        <v>244</v>
      </c>
      <c r="AQ9" s="258" t="s">
        <v>316</v>
      </c>
    </row>
    <row r="10" spans="1:43" ht="26.1" customHeight="1" thickBot="1">
      <c r="A10" s="94">
        <v>5</v>
      </c>
      <c r="B10" s="559"/>
      <c r="C10" s="560"/>
      <c r="D10" s="89"/>
      <c r="E10" s="44"/>
      <c r="F10" s="573" t="s">
        <v>2</v>
      </c>
      <c r="G10" s="475">
        <v>5</v>
      </c>
      <c r="H10" s="184" t="str">
        <f>IF(ISNA(MATCH(G10,$D$6:$D$19,0)),"",INDEX(B$6:$B$19,MATCH(G10,$D$6:$D$19,0)))</f>
        <v/>
      </c>
      <c r="I10" s="125">
        <f>IF(J10=J11,0,IF(J10&lt;J11,2,4))</f>
        <v>0</v>
      </c>
      <c r="J10" s="576"/>
      <c r="K10" s="44"/>
      <c r="L10" s="282">
        <v>7</v>
      </c>
      <c r="M10" s="118" t="s">
        <v>105</v>
      </c>
      <c r="N10" s="153"/>
      <c r="O10" s="752"/>
      <c r="P10" s="47"/>
      <c r="Q10" s="44"/>
      <c r="R10" s="131"/>
      <c r="S10" s="131"/>
      <c r="T10" s="44"/>
      <c r="U10" s="47"/>
      <c r="V10" s="44"/>
      <c r="W10" s="131"/>
      <c r="X10" s="131"/>
      <c r="Y10" s="44"/>
      <c r="Z10" s="113"/>
      <c r="AA10" s="137">
        <v>5</v>
      </c>
      <c r="AB10" s="332">
        <f t="shared" si="8"/>
        <v>0</v>
      </c>
      <c r="AC10" s="210" t="str">
        <f t="shared" si="0"/>
        <v/>
      </c>
      <c r="AD10" s="210" t="str">
        <f t="shared" si="1"/>
        <v/>
      </c>
      <c r="AE10" s="210" t="str">
        <f t="shared" si="2"/>
        <v/>
      </c>
      <c r="AF10" s="157" t="str">
        <f t="shared" si="3"/>
        <v/>
      </c>
      <c r="AG10" s="347">
        <f t="shared" si="4"/>
        <v>0</v>
      </c>
      <c r="AH10" s="299">
        <f t="shared" si="5"/>
        <v>1.0014000000000001</v>
      </c>
      <c r="AI10" s="194">
        <f>IF(AB10="","",SMALL(AH$6:AH$19,ROWS(AL$6:AL10)))</f>
        <v>1.00139</v>
      </c>
      <c r="AJ10" s="652">
        <f>IF(AI10="","",IF(AND(AL9=AL10),$AJ9,$AJ$6+4))</f>
        <v>1</v>
      </c>
      <c r="AK10" s="437">
        <f t="shared" si="6"/>
        <v>0</v>
      </c>
      <c r="AL10" s="438">
        <f t="shared" si="7"/>
        <v>0</v>
      </c>
      <c r="AN10" s="660" t="s">
        <v>118</v>
      </c>
      <c r="AO10" s="491">
        <v>2</v>
      </c>
      <c r="AP10" s="259" t="s">
        <v>266</v>
      </c>
      <c r="AQ10" s="256" t="s">
        <v>329</v>
      </c>
    </row>
    <row r="11" spans="1:43" ht="26.1" customHeight="1" thickBot="1">
      <c r="A11" s="94">
        <v>6</v>
      </c>
      <c r="B11" s="557"/>
      <c r="C11" s="558"/>
      <c r="D11" s="96"/>
      <c r="E11" s="44"/>
      <c r="F11" s="574">
        <v>3</v>
      </c>
      <c r="G11" s="476">
        <v>6</v>
      </c>
      <c r="H11" s="185" t="str">
        <f>IF(ISNA(MATCH(G11,$D$6:$D$19,0)),"",INDEX(B$6:$B$19,MATCH(G11,$D$6:$D$19,0)))</f>
        <v/>
      </c>
      <c r="I11" s="129">
        <f>IF(J10=J11,0,IF(J10&gt;J11,2,4))</f>
        <v>0</v>
      </c>
      <c r="J11" s="577"/>
      <c r="K11" s="44"/>
      <c r="L11" s="570" t="s">
        <v>2</v>
      </c>
      <c r="M11" s="529" t="str">
        <f>IF(J16=J17,"Gagnant du 6",IF(J16&gt;J17,H16,H17))</f>
        <v>Gagnant du 6</v>
      </c>
      <c r="N11" s="146">
        <f>IF(O11=O12,0,IF(O11&lt;O12,0,2))</f>
        <v>0</v>
      </c>
      <c r="O11" s="576"/>
      <c r="P11" s="44"/>
      <c r="Q11" s="44"/>
      <c r="R11" s="131" t="s">
        <v>51</v>
      </c>
      <c r="S11" s="167"/>
      <c r="T11" s="44"/>
      <c r="U11" s="44"/>
      <c r="V11" s="47"/>
      <c r="W11" s="147"/>
      <c r="X11" s="147"/>
      <c r="Y11" s="47"/>
      <c r="Z11" s="61"/>
      <c r="AA11" s="137">
        <v>6</v>
      </c>
      <c r="AB11" s="332">
        <f t="shared" si="8"/>
        <v>0</v>
      </c>
      <c r="AC11" s="210" t="str">
        <f t="shared" si="0"/>
        <v/>
      </c>
      <c r="AD11" s="210" t="str">
        <f t="shared" si="1"/>
        <v/>
      </c>
      <c r="AE11" s="210" t="str">
        <f t="shared" si="2"/>
        <v/>
      </c>
      <c r="AF11" s="157" t="str">
        <f t="shared" si="3"/>
        <v/>
      </c>
      <c r="AG11" s="347">
        <f t="shared" si="4"/>
        <v>0</v>
      </c>
      <c r="AH11" s="299">
        <f t="shared" si="5"/>
        <v>1.0014100000000001</v>
      </c>
      <c r="AI11" s="194">
        <f>IF(AB11="","",SMALL(AH$6:AH$19,ROWS(AL$6:AL11)))</f>
        <v>1.0014000000000001</v>
      </c>
      <c r="AJ11" s="652">
        <f>IF(AI11="","",IF(AND(AL10=AL11),$AJ10,$AJ$6+5))</f>
        <v>1</v>
      </c>
      <c r="AK11" s="437">
        <f t="shared" si="6"/>
        <v>0</v>
      </c>
      <c r="AL11" s="438">
        <f t="shared" si="7"/>
        <v>0</v>
      </c>
      <c r="AN11" s="661" t="s">
        <v>20</v>
      </c>
      <c r="AO11" s="492">
        <v>2</v>
      </c>
      <c r="AP11" s="137" t="s">
        <v>248</v>
      </c>
      <c r="AQ11" s="266">
        <v>5</v>
      </c>
    </row>
    <row r="12" spans="1:43" ht="26.1" customHeight="1" thickBot="1">
      <c r="A12" s="94">
        <v>7</v>
      </c>
      <c r="B12" s="559"/>
      <c r="C12" s="560"/>
      <c r="D12" s="89"/>
      <c r="E12" s="44"/>
      <c r="F12" s="573" t="s">
        <v>2</v>
      </c>
      <c r="G12" s="475">
        <v>7</v>
      </c>
      <c r="H12" s="184" t="str">
        <f>IF(ISNA(MATCH(G12,$D$6:$D$19,0)),"",INDEX(B$6:$B$19,MATCH(G12,$D$6:$D$19,0)))</f>
        <v/>
      </c>
      <c r="I12" s="125">
        <f>IF(J12=J13,0,IF(J12&lt;J13,2,4))</f>
        <v>0</v>
      </c>
      <c r="J12" s="578"/>
      <c r="K12" s="44"/>
      <c r="L12" s="571">
        <v>1</v>
      </c>
      <c r="M12" s="520" t="str">
        <f>IF(J18=J19,"Gagnant du 7",IF(J18&gt;J19,H18,H19))</f>
        <v/>
      </c>
      <c r="N12" s="129">
        <f>IF(O11=O12,0,IF(O11&gt;O12,0,2))</f>
        <v>0</v>
      </c>
      <c r="O12" s="577"/>
      <c r="P12" s="44"/>
      <c r="Q12" s="522" t="s">
        <v>2</v>
      </c>
      <c r="R12" s="528" t="str">
        <f>IF(O18=O19,"Gagnant du 2",IF(O18&gt;O19,M18,M19))</f>
        <v>Gagnant du 2</v>
      </c>
      <c r="S12" s="146">
        <f>IF(T12=T13,0,IF(T12&lt;T13,0,1))</f>
        <v>0</v>
      </c>
      <c r="T12" s="631"/>
      <c r="U12" s="44"/>
      <c r="V12" s="44"/>
      <c r="W12" s="131" t="s">
        <v>10</v>
      </c>
      <c r="X12" s="167"/>
      <c r="Y12" s="44"/>
      <c r="Z12" s="61"/>
      <c r="AA12" s="137">
        <v>7</v>
      </c>
      <c r="AB12" s="332">
        <f t="shared" si="8"/>
        <v>0</v>
      </c>
      <c r="AC12" s="210" t="str">
        <f t="shared" si="0"/>
        <v/>
      </c>
      <c r="AD12" s="210" t="str">
        <f t="shared" si="1"/>
        <v/>
      </c>
      <c r="AE12" s="210" t="str">
        <f t="shared" si="2"/>
        <v/>
      </c>
      <c r="AF12" s="157" t="str">
        <f t="shared" si="3"/>
        <v/>
      </c>
      <c r="AG12" s="347">
        <f t="shared" si="4"/>
        <v>0</v>
      </c>
      <c r="AH12" s="299">
        <f t="shared" si="5"/>
        <v>1.00142</v>
      </c>
      <c r="AI12" s="194">
        <f>IF(AB12="","",SMALL(AH$6:AH$19,ROWS(AL$6:AL12)))</f>
        <v>1.0014100000000001</v>
      </c>
      <c r="AJ12" s="652">
        <f>IF(AI12="","",IF(AND(AL11=AL12),$AJ11,$AJ$6+6))</f>
        <v>1</v>
      </c>
      <c r="AK12" s="437">
        <f t="shared" si="6"/>
        <v>0</v>
      </c>
      <c r="AL12" s="438">
        <f t="shared" si="7"/>
        <v>0</v>
      </c>
      <c r="AN12" s="661" t="s">
        <v>65</v>
      </c>
      <c r="AO12" s="493">
        <v>2</v>
      </c>
      <c r="AP12" s="138" t="s">
        <v>273</v>
      </c>
      <c r="AQ12" s="266">
        <v>3</v>
      </c>
    </row>
    <row r="13" spans="1:43" ht="26.1" customHeight="1" thickBot="1">
      <c r="A13" s="94">
        <v>8</v>
      </c>
      <c r="B13" s="557"/>
      <c r="C13" s="558"/>
      <c r="D13" s="96"/>
      <c r="E13" s="44"/>
      <c r="F13" s="574">
        <v>4</v>
      </c>
      <c r="G13" s="476">
        <v>8</v>
      </c>
      <c r="H13" s="185" t="str">
        <f>IF(ISNA(MATCH(G13,$D$6:$D$19,0)),"",INDEX(B$6:$B$19,MATCH(G13,$D$6:$D$19,0)))</f>
        <v/>
      </c>
      <c r="I13" s="129">
        <f>IF(J12=J13,0,IF(J12&gt;J13,2,4))</f>
        <v>0</v>
      </c>
      <c r="J13" s="579"/>
      <c r="K13" s="44"/>
      <c r="L13" s="61"/>
      <c r="M13" s="221"/>
      <c r="N13" s="147"/>
      <c r="O13" s="61"/>
      <c r="P13" s="44"/>
      <c r="Q13" s="524">
        <v>5</v>
      </c>
      <c r="R13" s="521" t="str">
        <f>IF(O16=O17,"Gagnant du 8",IF(O16&gt;O17,M16,M17))</f>
        <v>Gagnant du 8</v>
      </c>
      <c r="S13" s="133">
        <f>IF(T12=T13,0,IF(T12&gt;T13,0,1))</f>
        <v>0</v>
      </c>
      <c r="T13" s="632"/>
      <c r="U13" s="44"/>
      <c r="V13" s="522" t="s">
        <v>2</v>
      </c>
      <c r="W13" s="528" t="str">
        <f>IF(T14=T15,"Gagnant du 3",IF(T14&gt;T15,R14,R15))</f>
        <v>Gagnant du 4</v>
      </c>
      <c r="X13" s="146">
        <f>IF(Y13=Y14,0,IF(Y13&lt;Y14,0,1))</f>
        <v>0</v>
      </c>
      <c r="Y13" s="631"/>
      <c r="Z13" s="113"/>
      <c r="AA13" s="137">
        <v>8</v>
      </c>
      <c r="AB13" s="332">
        <f t="shared" si="8"/>
        <v>0</v>
      </c>
      <c r="AC13" s="210" t="str">
        <f t="shared" si="0"/>
        <v/>
      </c>
      <c r="AD13" s="210" t="str">
        <f t="shared" si="1"/>
        <v/>
      </c>
      <c r="AE13" s="210" t="str">
        <f t="shared" si="2"/>
        <v/>
      </c>
      <c r="AF13" s="157" t="str">
        <f t="shared" si="3"/>
        <v/>
      </c>
      <c r="AG13" s="347">
        <f t="shared" si="4"/>
        <v>0</v>
      </c>
      <c r="AH13" s="299">
        <f t="shared" si="5"/>
        <v>1.00143</v>
      </c>
      <c r="AI13" s="194">
        <f>IF(AB13="","",SMALL(AH$6:AH$19,ROWS(AL$6:AL13)))</f>
        <v>1.00142</v>
      </c>
      <c r="AJ13" s="652">
        <f>IF(AI13="","",IF(AND(AL12=AL13),$AJ12,$AJ$6+7))</f>
        <v>1</v>
      </c>
      <c r="AK13" s="437">
        <f t="shared" si="6"/>
        <v>0</v>
      </c>
      <c r="AL13" s="438">
        <f t="shared" si="7"/>
        <v>0</v>
      </c>
      <c r="AN13" s="663" t="s">
        <v>117</v>
      </c>
      <c r="AO13" s="503">
        <v>2</v>
      </c>
      <c r="AP13" s="259" t="s">
        <v>267</v>
      </c>
      <c r="AQ13" s="256">
        <v>4.5</v>
      </c>
    </row>
    <row r="14" spans="1:43" ht="26.1" customHeight="1" thickBot="1">
      <c r="A14" s="94">
        <v>9</v>
      </c>
      <c r="B14" s="559"/>
      <c r="C14" s="560"/>
      <c r="D14" s="89"/>
      <c r="E14" s="44"/>
      <c r="F14" s="573" t="s">
        <v>2</v>
      </c>
      <c r="G14" s="475">
        <v>9</v>
      </c>
      <c r="H14" s="184" t="str">
        <f>IF(ISNA(MATCH(G14,$D$6:$D$19,0)),"",INDEX(B$6:$B$19,MATCH(G14,$D$6:$D$19,0)))</f>
        <v/>
      </c>
      <c r="I14" s="125">
        <f>IF(J14=J15,0,IF(J14&lt;J15,2,4))</f>
        <v>0</v>
      </c>
      <c r="J14" s="576"/>
      <c r="K14" s="44"/>
      <c r="M14" s="655"/>
      <c r="N14" s="192"/>
      <c r="P14" s="44"/>
      <c r="Q14" s="522" t="s">
        <v>2</v>
      </c>
      <c r="R14" s="528" t="str">
        <f>IF(O20=O21,"Gagnant du 4",IF(O20&gt;O21,M20,M21))</f>
        <v>Gagnant du 4</v>
      </c>
      <c r="S14" s="152">
        <v>0.5</v>
      </c>
      <c r="T14" s="121">
        <v>1</v>
      </c>
      <c r="U14" s="44"/>
      <c r="V14" s="524">
        <v>1</v>
      </c>
      <c r="W14" s="520" t="str">
        <f>IF(T12=T13,"Gagnant du 5",IF(T12&gt;T13,R12,R13))</f>
        <v>Gagnant du 5</v>
      </c>
      <c r="X14" s="129">
        <f>IF(Y13=Y14,0,IF(Y13&gt;Y14,0,1))</f>
        <v>0</v>
      </c>
      <c r="Y14" s="632"/>
      <c r="Z14" s="113"/>
      <c r="AA14" s="137">
        <v>9</v>
      </c>
      <c r="AB14" s="332">
        <f t="shared" si="8"/>
        <v>0</v>
      </c>
      <c r="AC14" s="210" t="str">
        <f t="shared" si="0"/>
        <v/>
      </c>
      <c r="AD14" s="210" t="str">
        <f t="shared" si="1"/>
        <v/>
      </c>
      <c r="AE14" s="210" t="str">
        <f t="shared" si="2"/>
        <v/>
      </c>
      <c r="AF14" s="157" t="str">
        <f t="shared" si="3"/>
        <v/>
      </c>
      <c r="AG14" s="347">
        <f t="shared" si="4"/>
        <v>0</v>
      </c>
      <c r="AH14" s="299">
        <f t="shared" si="5"/>
        <v>1.0014400000000001</v>
      </c>
      <c r="AI14" s="194">
        <f>IF(AB14="","",SMALL(AH$6:AH$19,ROWS(AL$6:AL14)))</f>
        <v>1.00143</v>
      </c>
      <c r="AJ14" s="652">
        <f>IF(AI14="","",IF(AND(AL13=AL14),$AJ13,$AJ$6+8))</f>
        <v>1</v>
      </c>
      <c r="AK14" s="437">
        <f t="shared" si="6"/>
        <v>0</v>
      </c>
      <c r="AL14" s="438">
        <f t="shared" si="7"/>
        <v>0</v>
      </c>
      <c r="AN14" s="664" t="s">
        <v>18</v>
      </c>
      <c r="AO14" s="492">
        <v>2</v>
      </c>
      <c r="AP14" s="137" t="s">
        <v>250</v>
      </c>
      <c r="AQ14" s="458">
        <v>4</v>
      </c>
    </row>
    <row r="15" spans="1:43" ht="26.1" customHeight="1" thickBot="1">
      <c r="A15" s="94">
        <v>10</v>
      </c>
      <c r="B15" s="557"/>
      <c r="C15" s="558"/>
      <c r="D15" s="96"/>
      <c r="E15" s="44"/>
      <c r="F15" s="574">
        <v>5</v>
      </c>
      <c r="G15" s="476">
        <v>10</v>
      </c>
      <c r="H15" s="185" t="str">
        <f>IF(ISNA(MATCH(G15,$D$6:$D$19,0)),"",INDEX(B$6:$B$19,MATCH(G15,$D$6:$D$19,0)))</f>
        <v/>
      </c>
      <c r="I15" s="129">
        <f>IF(J14=J15,0,IF(J14&gt;J15,2,4))</f>
        <v>0</v>
      </c>
      <c r="J15" s="577"/>
      <c r="K15" s="44"/>
      <c r="L15" s="44"/>
      <c r="M15" s="131" t="s">
        <v>7</v>
      </c>
      <c r="N15" s="147"/>
      <c r="O15" s="47"/>
      <c r="P15" s="44"/>
      <c r="Q15" s="282">
        <v>3</v>
      </c>
      <c r="R15" s="118" t="s">
        <v>105</v>
      </c>
      <c r="S15" s="153"/>
      <c r="T15" s="752"/>
      <c r="U15" s="44"/>
      <c r="V15" s="44"/>
      <c r="W15" s="131"/>
      <c r="X15" s="131"/>
      <c r="Y15" s="44"/>
      <c r="Z15" s="113"/>
      <c r="AA15" s="137">
        <v>10</v>
      </c>
      <c r="AB15" s="332">
        <f t="shared" si="8"/>
        <v>0</v>
      </c>
      <c r="AC15" s="210" t="str">
        <f t="shared" si="0"/>
        <v/>
      </c>
      <c r="AD15" s="210" t="str">
        <f t="shared" si="1"/>
        <v/>
      </c>
      <c r="AE15" s="210" t="str">
        <f t="shared" si="2"/>
        <v/>
      </c>
      <c r="AF15" s="157" t="str">
        <f t="shared" si="3"/>
        <v/>
      </c>
      <c r="AG15" s="347">
        <f t="shared" si="4"/>
        <v>0</v>
      </c>
      <c r="AH15" s="299">
        <f t="shared" si="5"/>
        <v>1.0014500000000002</v>
      </c>
      <c r="AI15" s="194">
        <f>IF(AB15="","",SMALL(AH$6:AH$19,ROWS(AL$6:AL15)))</f>
        <v>1.0014400000000001</v>
      </c>
      <c r="AJ15" s="652">
        <f>IF(AI15="","",IF(AND(AL14=AL15),$AJ14,$AJ$6+9))</f>
        <v>1</v>
      </c>
      <c r="AK15" s="437">
        <f t="shared" si="6"/>
        <v>0</v>
      </c>
      <c r="AL15" s="438">
        <f t="shared" si="7"/>
        <v>0</v>
      </c>
      <c r="AN15" s="665" t="s">
        <v>64</v>
      </c>
      <c r="AO15" s="497">
        <v>2</v>
      </c>
      <c r="AP15" s="138" t="s">
        <v>251</v>
      </c>
      <c r="AQ15" s="258">
        <v>3</v>
      </c>
    </row>
    <row r="16" spans="1:43" ht="26.1" customHeight="1">
      <c r="A16" s="94">
        <v>11</v>
      </c>
      <c r="B16" s="559"/>
      <c r="C16" s="560"/>
      <c r="D16" s="89"/>
      <c r="E16" s="44"/>
      <c r="F16" s="573" t="s">
        <v>2</v>
      </c>
      <c r="G16" s="475">
        <v>11</v>
      </c>
      <c r="H16" s="184" t="str">
        <f>IF(ISNA(MATCH(G16,$D$6:$D$19,0)),"",INDEX(B$6:$B$19,MATCH(G16,$D$6:$D$19,0)))</f>
        <v/>
      </c>
      <c r="I16" s="125">
        <f>IF(J16=J17,0,IF(J16&lt;J17,2,4))</f>
        <v>0</v>
      </c>
      <c r="J16" s="578"/>
      <c r="K16" s="44"/>
      <c r="L16" s="522" t="s">
        <v>2</v>
      </c>
      <c r="M16" s="528" t="str">
        <f>IF(J6=J7,"Perdant du 1",IF(J6&lt;J7,H6,H7))</f>
        <v>Perdant du 1</v>
      </c>
      <c r="N16" s="171">
        <f>IF(O16=O17,0,IF(O16&lt;O17,0,1))</f>
        <v>0</v>
      </c>
      <c r="O16" s="631"/>
      <c r="P16" s="44"/>
      <c r="Q16" s="44"/>
      <c r="R16" s="131"/>
      <c r="S16" s="131"/>
      <c r="T16" s="44"/>
      <c r="U16" s="44"/>
      <c r="V16" s="44"/>
      <c r="W16" s="131"/>
      <c r="X16" s="131"/>
      <c r="Y16" s="44"/>
      <c r="Z16" s="113"/>
      <c r="AA16" s="137">
        <v>11</v>
      </c>
      <c r="AB16" s="332">
        <f t="shared" si="8"/>
        <v>0</v>
      </c>
      <c r="AC16" s="210" t="str">
        <f t="shared" si="0"/>
        <v/>
      </c>
      <c r="AD16" s="210" t="str">
        <f t="shared" si="1"/>
        <v/>
      </c>
      <c r="AE16" s="210" t="str">
        <f t="shared" si="2"/>
        <v/>
      </c>
      <c r="AF16" s="157" t="str">
        <f t="shared" si="3"/>
        <v/>
      </c>
      <c r="AG16" s="347">
        <f t="shared" si="4"/>
        <v>0</v>
      </c>
      <c r="AH16" s="299">
        <f t="shared" si="5"/>
        <v>1.00146</v>
      </c>
      <c r="AI16" s="194">
        <f>IF(AB16="","",SMALL(AH$6:AH$19,ROWS(AL$6:AL16)))</f>
        <v>1.0014500000000002</v>
      </c>
      <c r="AJ16" s="652">
        <f>IF(AI16="","",IF(AND(AL15=AL16),$AJ15,$AJ$6+10))</f>
        <v>1</v>
      </c>
      <c r="AK16" s="437">
        <f t="shared" si="6"/>
        <v>0</v>
      </c>
      <c r="AL16" s="438">
        <f t="shared" si="7"/>
        <v>0</v>
      </c>
      <c r="AN16" s="265" t="s">
        <v>116</v>
      </c>
      <c r="AO16" s="498">
        <v>2</v>
      </c>
      <c r="AP16" s="259" t="s">
        <v>246</v>
      </c>
      <c r="AQ16" s="136">
        <f t="shared" ref="AQ16:AQ18" si="9">SUM(AO16:AP16)</f>
        <v>2</v>
      </c>
    </row>
    <row r="17" spans="1:44" ht="26.1" customHeight="1" thickBot="1">
      <c r="A17" s="94">
        <v>12</v>
      </c>
      <c r="B17" s="557"/>
      <c r="C17" s="558"/>
      <c r="D17" s="96"/>
      <c r="E17" s="44"/>
      <c r="F17" s="574">
        <v>6</v>
      </c>
      <c r="G17" s="476">
        <v>12</v>
      </c>
      <c r="H17" s="185" t="str">
        <f>IF(ISNA(MATCH(G17,$D$6:$D$19,0)),"",INDEX(B$6:$B$19,MATCH(G17,$D$6:$D$19,0)))</f>
        <v/>
      </c>
      <c r="I17" s="129">
        <f>IF(J16=J17,0,IF(J16&gt;J17,2,4))</f>
        <v>0</v>
      </c>
      <c r="J17" s="579"/>
      <c r="K17" s="44"/>
      <c r="L17" s="524">
        <v>8</v>
      </c>
      <c r="M17" s="627" t="str">
        <f>IF(J8=J9,"Perdant du 2",IF(J8&lt;J9,H8,H9))</f>
        <v>Perdant du 2</v>
      </c>
      <c r="N17" s="156">
        <f>IF(O16=O17,0,IF(O16&gt;O17,0,1))</f>
        <v>0</v>
      </c>
      <c r="O17" s="632"/>
      <c r="P17" s="44"/>
      <c r="Q17" s="44"/>
      <c r="R17" s="167" t="s">
        <v>53</v>
      </c>
      <c r="S17" s="131"/>
      <c r="T17" s="44"/>
      <c r="U17" s="44"/>
      <c r="V17" s="44"/>
      <c r="W17" s="131"/>
      <c r="X17" s="131"/>
      <c r="Y17" s="44"/>
      <c r="Z17" s="61"/>
      <c r="AA17" s="137">
        <v>12</v>
      </c>
      <c r="AB17" s="332">
        <f t="shared" si="8"/>
        <v>0</v>
      </c>
      <c r="AC17" s="210" t="str">
        <f t="shared" si="0"/>
        <v/>
      </c>
      <c r="AD17" s="210" t="str">
        <f t="shared" si="1"/>
        <v/>
      </c>
      <c r="AE17" s="210" t="str">
        <f t="shared" si="2"/>
        <v/>
      </c>
      <c r="AF17" s="157" t="str">
        <f t="shared" si="3"/>
        <v/>
      </c>
      <c r="AG17" s="347">
        <f t="shared" si="4"/>
        <v>0</v>
      </c>
      <c r="AH17" s="299">
        <f t="shared" si="5"/>
        <v>1.0014700000000001</v>
      </c>
      <c r="AI17" s="194">
        <f>IF(AB17="","",SMALL(AH$6:AH$19,ROWS(AL$6:AL17)))</f>
        <v>1.00146</v>
      </c>
      <c r="AJ17" s="652">
        <f>IF(AI17="","",IF(AND(AL16=AL17),$AJ16,$AJ$6+11))</f>
        <v>1</v>
      </c>
      <c r="AK17" s="437">
        <f t="shared" si="6"/>
        <v>0</v>
      </c>
      <c r="AL17" s="438">
        <f t="shared" si="7"/>
        <v>0</v>
      </c>
      <c r="AN17" s="265" t="s">
        <v>116</v>
      </c>
      <c r="AO17" s="499">
        <v>2</v>
      </c>
      <c r="AP17" s="137" t="s">
        <v>246</v>
      </c>
      <c r="AQ17" s="137">
        <f t="shared" si="9"/>
        <v>2</v>
      </c>
    </row>
    <row r="18" spans="1:44" ht="26.1" customHeight="1" thickBot="1">
      <c r="A18" s="94">
        <v>13</v>
      </c>
      <c r="B18" s="559"/>
      <c r="C18" s="560"/>
      <c r="D18" s="89"/>
      <c r="E18" s="44"/>
      <c r="F18" s="573" t="s">
        <v>2</v>
      </c>
      <c r="G18" s="475">
        <v>13</v>
      </c>
      <c r="H18" s="184" t="str">
        <f>IF(ISNA(MATCH(G18,$D$6:$D$19,0)),"",INDEX(B$6:$B$19,MATCH(G18,$D$6:$D$19,0)))</f>
        <v/>
      </c>
      <c r="I18" s="123">
        <v>3</v>
      </c>
      <c r="J18" s="121">
        <v>1</v>
      </c>
      <c r="K18" s="44"/>
      <c r="L18" s="536" t="s">
        <v>2</v>
      </c>
      <c r="M18" s="521" t="str">
        <f>IF(J10=J11,"Perdant du 3",IF(J10&lt;J11,H10,H11))</f>
        <v>Perdant du 3</v>
      </c>
      <c r="N18" s="146">
        <f>IF(O18=O19,0,IF(O18&lt;O19,0,1))</f>
        <v>0</v>
      </c>
      <c r="O18" s="635"/>
      <c r="P18" s="44"/>
      <c r="Q18" s="483" t="s">
        <v>2</v>
      </c>
      <c r="R18" s="164" t="s">
        <v>105</v>
      </c>
      <c r="S18" s="152"/>
      <c r="T18" s="121"/>
      <c r="U18" s="44"/>
      <c r="V18" s="44"/>
      <c r="W18" s="131" t="s">
        <v>11</v>
      </c>
      <c r="X18" s="167"/>
      <c r="Y18" s="44"/>
      <c r="Z18" s="61"/>
      <c r="AA18" s="137">
        <v>13</v>
      </c>
      <c r="AB18" s="332">
        <f t="shared" si="8"/>
        <v>0</v>
      </c>
      <c r="AC18" s="210" t="str">
        <f t="shared" si="0"/>
        <v/>
      </c>
      <c r="AD18" s="210" t="str">
        <f t="shared" si="1"/>
        <v/>
      </c>
      <c r="AE18" s="210" t="str">
        <f t="shared" si="2"/>
        <v/>
      </c>
      <c r="AF18" s="157" t="str">
        <f t="shared" si="3"/>
        <v/>
      </c>
      <c r="AG18" s="347">
        <f t="shared" si="4"/>
        <v>0</v>
      </c>
      <c r="AH18" s="299">
        <f t="shared" si="5"/>
        <v>1.0014800000000001</v>
      </c>
      <c r="AI18" s="194">
        <f>IF(AB18="","",SMALL(AH$6:AH$19,ROWS(AL$6:AL18)))</f>
        <v>1.0014700000000001</v>
      </c>
      <c r="AJ18" s="652">
        <f>IF(AI18="","",IF(AND(AL17=AL18),$AJ17,$AJ$6+12))</f>
        <v>1</v>
      </c>
      <c r="AK18" s="437">
        <f t="shared" si="6"/>
        <v>0</v>
      </c>
      <c r="AL18" s="438">
        <f t="shared" si="7"/>
        <v>0</v>
      </c>
      <c r="AN18" s="257" t="s">
        <v>116</v>
      </c>
      <c r="AO18" s="500">
        <v>2</v>
      </c>
      <c r="AP18" s="138" t="s">
        <v>246</v>
      </c>
      <c r="AQ18" s="138">
        <f t="shared" si="9"/>
        <v>2</v>
      </c>
    </row>
    <row r="19" spans="1:44" ht="25.5" customHeight="1" thickBot="1">
      <c r="A19" s="110">
        <v>14</v>
      </c>
      <c r="B19" s="200" t="s">
        <v>105</v>
      </c>
      <c r="C19" s="204"/>
      <c r="D19" s="159">
        <v>14</v>
      </c>
      <c r="E19" s="44"/>
      <c r="F19" s="502">
        <v>7</v>
      </c>
      <c r="G19" s="476">
        <v>14</v>
      </c>
      <c r="H19" s="168" t="str">
        <f>IF(ISNA(MATCH(G19,$D$6:$D$19,0)),"",INDEX(B$6:$B$19,MATCH(G19,$D$6:$D$19,0)))</f>
        <v>OFFICE</v>
      </c>
      <c r="I19" s="124">
        <v>0</v>
      </c>
      <c r="J19" s="122">
        <v>0</v>
      </c>
      <c r="K19" s="44"/>
      <c r="L19" s="526">
        <v>2</v>
      </c>
      <c r="M19" s="527" t="str">
        <f>IF(J12=J13,"Perdant du 4",IF(J12&lt;J13,H12,H13))</f>
        <v>Perdant du 4</v>
      </c>
      <c r="N19" s="220">
        <f>IF(O18=O19,0,IF(O18&gt;O19,0,1))</f>
        <v>0</v>
      </c>
      <c r="O19" s="634"/>
      <c r="P19" s="44"/>
      <c r="Q19" s="282">
        <v>4</v>
      </c>
      <c r="R19" s="627" t="str">
        <f>IF(O5=O6,"Perdant du 3",IF(O5&lt;O6,M5,M6))</f>
        <v>Perdant du 3</v>
      </c>
      <c r="S19" s="153">
        <v>0.5</v>
      </c>
      <c r="T19" s="752">
        <v>1</v>
      </c>
      <c r="U19" s="44"/>
      <c r="V19" s="483" t="s">
        <v>2</v>
      </c>
      <c r="W19" s="535" t="str">
        <f>IF(T18=T19,"Gagnant du 4",IF(T18&gt;T19,R18,R19))</f>
        <v>Perdant du 3</v>
      </c>
      <c r="X19" s="146">
        <f>IF(Y19=Y20,0,IF(Y19&lt;Y20,0,1))</f>
        <v>0</v>
      </c>
      <c r="Y19" s="511"/>
      <c r="Z19" s="113"/>
      <c r="AA19" s="170">
        <v>14</v>
      </c>
      <c r="AB19" s="378" t="str">
        <f t="shared" si="8"/>
        <v>OFFICE</v>
      </c>
      <c r="AC19" s="379">
        <f t="shared" si="0"/>
        <v>0</v>
      </c>
      <c r="AD19" s="379">
        <f t="shared" ref="AD19" si="10">IF(ISNA(VLOOKUP(AB19,$M$5:$N$21,2,0)),"",VLOOKUP(AB19,$M$5:$N$21,2,0))</f>
        <v>0</v>
      </c>
      <c r="AE19" s="379">
        <f t="shared" ref="AE19" si="11">IF(ISNA(VLOOKUP(AB19,$R$6:$S$21,3,0)),"",VLOOKUP(AB19,$R$6:$S$21,2,0))</f>
        <v>0</v>
      </c>
      <c r="AF19" s="423" t="str">
        <f t="shared" ref="AF19" si="12">IF(ISNA(VLOOKUP(AB19,$W$7:$X$21,2,0)),"",VLOOKUP(AB19,$W$7:$X$21,2,0))</f>
        <v/>
      </c>
      <c r="AG19" s="430">
        <f t="shared" ref="AG19" si="13">SUM(AC19:AF19)</f>
        <v>0</v>
      </c>
      <c r="AH19" s="374">
        <f t="shared" si="5"/>
        <v>1.0001899999999999</v>
      </c>
      <c r="AI19" s="375">
        <f>IF(AB19="","",SMALL(AH$6:AH$19,ROWS(AL$6:AL19)))</f>
        <v>1.0014800000000001</v>
      </c>
      <c r="AJ19" s="673">
        <v>14</v>
      </c>
      <c r="AK19" s="431">
        <f t="shared" si="6"/>
        <v>0</v>
      </c>
      <c r="AL19" s="432">
        <f t="shared" si="7"/>
        <v>0</v>
      </c>
    </row>
    <row r="20" spans="1:44" ht="25.5" customHeight="1" thickBot="1">
      <c r="E20" s="44"/>
      <c r="H20" s="144" t="s">
        <v>232</v>
      </c>
      <c r="K20" s="44"/>
      <c r="L20" s="522" t="s">
        <v>2</v>
      </c>
      <c r="M20" s="528" t="str">
        <f>IF(J14=J15,"Perdant du 5",IF(J14&lt;J15,H14,H15))</f>
        <v>Perdant du 5</v>
      </c>
      <c r="N20" s="171">
        <f>IF(O20=O21,0,IF(O20&lt;O21,0,1))</f>
        <v>0</v>
      </c>
      <c r="O20" s="631"/>
      <c r="P20" s="44"/>
      <c r="Q20" s="509" t="s">
        <v>2</v>
      </c>
      <c r="R20" s="521" t="str">
        <f>IF(O7=O8,"Perdant du 5",IF(O7&lt;O8,M7,M8))</f>
        <v>Perdant du 5</v>
      </c>
      <c r="S20" s="146">
        <f>IF(T20=T21,0,IF(T20&lt;T21,0,1))</f>
        <v>0</v>
      </c>
      <c r="T20" s="636"/>
      <c r="U20" s="44"/>
      <c r="V20" s="484">
        <v>6</v>
      </c>
      <c r="W20" s="520" t="str">
        <f>IF(T20=T21,"Gagnant du 8",IF(T20&gt;T21,R20,R21))</f>
        <v>Gagnant du 8</v>
      </c>
      <c r="X20" s="129">
        <f>IF(Y19=Y20,0,IF(Y19&gt;Y20,0,1))</f>
        <v>0</v>
      </c>
      <c r="Y20" s="512"/>
      <c r="Z20" s="113"/>
      <c r="AC20" s="161">
        <f>SUM(AC6:AC19)</f>
        <v>0</v>
      </c>
      <c r="AD20" s="161">
        <f>SUM(AD6:AD19)</f>
        <v>0</v>
      </c>
      <c r="AE20" s="161">
        <f>SUM(AE6:AE18)</f>
        <v>0</v>
      </c>
      <c r="AF20" s="161">
        <f>SUM(AF6:AF18)</f>
        <v>0</v>
      </c>
      <c r="AG20" s="161">
        <f>SUM(AG6:AG18)</f>
        <v>0</v>
      </c>
      <c r="AN20" s="61"/>
    </row>
    <row r="21" spans="1:44" ht="26.1" customHeight="1" thickBot="1">
      <c r="B21" s="44"/>
      <c r="C21" s="44"/>
      <c r="D21" s="44"/>
      <c r="E21" s="44"/>
      <c r="F21" s="44"/>
      <c r="K21" s="44"/>
      <c r="L21" s="524">
        <v>4</v>
      </c>
      <c r="M21" s="627" t="str">
        <f>IF(J16=J17,"Perdant du 6",IF(J16&lt;J17,H16,H17))</f>
        <v>Perdant du 6</v>
      </c>
      <c r="N21" s="156">
        <f>IF(O20=O21,0,IF(O20&gt;O21,0,1))</f>
        <v>0</v>
      </c>
      <c r="O21" s="632"/>
      <c r="P21" s="44"/>
      <c r="Q21" s="484">
        <v>8</v>
      </c>
      <c r="R21" s="520" t="str">
        <f>IF(O11=O12,"Perdant du 1",IF(O11&lt;O12,M11,M12))</f>
        <v>Perdant du 1</v>
      </c>
      <c r="S21" s="129">
        <f>IF(T20=T21,0,IF(T20&gt;T21,0,1))</f>
        <v>0</v>
      </c>
      <c r="T21" s="512"/>
      <c r="U21" s="44"/>
      <c r="V21" s="44"/>
      <c r="W21" s="44"/>
      <c r="X21" s="44"/>
      <c r="Y21" s="44"/>
      <c r="Z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</row>
    <row r="22" spans="1:44" ht="26.1" customHeight="1">
      <c r="A22" s="44"/>
      <c r="B22" s="421" t="s">
        <v>127</v>
      </c>
      <c r="C22" s="44"/>
      <c r="E22" s="44"/>
      <c r="F22" s="47"/>
      <c r="G22" s="44"/>
      <c r="H22" s="260"/>
      <c r="I22" s="44"/>
      <c r="J22" s="44"/>
      <c r="K22" s="44"/>
      <c r="L22" s="45"/>
      <c r="M22" s="45"/>
      <c r="N22" s="45"/>
      <c r="O22" s="45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3" spans="1:44" s="162" customFormat="1" ht="24.95" customHeight="1" thickBot="1">
      <c r="A23" s="44"/>
      <c r="B23" s="648" t="s">
        <v>45</v>
      </c>
      <c r="C23" s="44"/>
      <c r="D23" s="44"/>
      <c r="E23" s="44"/>
      <c r="F23" s="44"/>
      <c r="G23" s="47"/>
      <c r="H23" s="274"/>
      <c r="I23" s="44"/>
      <c r="J23" s="252"/>
      <c r="K23" s="201"/>
      <c r="L23" s="45"/>
      <c r="M23" s="45"/>
      <c r="N23" s="45"/>
      <c r="O23" s="45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201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61"/>
      <c r="AN23" s="161"/>
      <c r="AO23" s="161"/>
      <c r="AP23" s="161"/>
      <c r="AR23" s="161"/>
    </row>
    <row r="24" spans="1:44" ht="24.95" customHeight="1" thickBot="1">
      <c r="A24" s="44"/>
      <c r="B24" s="44"/>
      <c r="C24" s="44"/>
      <c r="G24" s="44"/>
      <c r="H24" s="44"/>
      <c r="I24" s="135">
        <f>SUM(I6:I22)</f>
        <v>3</v>
      </c>
      <c r="K24" s="44"/>
      <c r="L24" s="135"/>
      <c r="M24" s="135"/>
      <c r="N24" s="131">
        <f>SUM(N5:N23)</f>
        <v>3</v>
      </c>
      <c r="O24" s="131"/>
      <c r="P24" s="135"/>
      <c r="Q24" s="135"/>
      <c r="R24" s="135"/>
      <c r="S24" s="135">
        <f>SUM(S6:S21)</f>
        <v>1</v>
      </c>
      <c r="T24" s="135"/>
      <c r="U24" s="201"/>
      <c r="V24" s="135"/>
      <c r="W24" s="135"/>
      <c r="X24" s="135">
        <f>SUM(X7:X20)</f>
        <v>0</v>
      </c>
      <c r="Y24" s="135"/>
      <c r="AA24" s="113"/>
      <c r="AB24" s="201"/>
      <c r="AC24" s="201"/>
      <c r="AD24" s="201"/>
      <c r="AE24" s="201"/>
      <c r="AF24" s="201"/>
      <c r="AG24" s="201"/>
      <c r="AH24" s="201"/>
      <c r="AI24" s="201"/>
      <c r="AJ24" s="201"/>
      <c r="AK24" s="275">
        <f>SUM(I24:Z24)</f>
        <v>7</v>
      </c>
      <c r="AL24" s="275">
        <f>SUM(AL6:AL19)</f>
        <v>0</v>
      </c>
      <c r="AM24" s="162"/>
      <c r="AN24" s="162"/>
      <c r="AO24" s="162"/>
      <c r="AP24" s="162"/>
      <c r="AQ24"/>
    </row>
    <row r="25" spans="1:44" s="44" customFormat="1" ht="24.95" customHeight="1">
      <c r="L25" s="161"/>
      <c r="N25" s="161"/>
      <c r="P25" s="162"/>
      <c r="Q25" s="161"/>
      <c r="R25" s="161"/>
      <c r="S25" s="161"/>
      <c r="T25" s="161"/>
      <c r="U25" s="161"/>
      <c r="V25" s="161"/>
      <c r="W25" s="161"/>
      <c r="X25" s="161"/>
      <c r="Y25" s="161"/>
      <c r="AA25" s="20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R25" s="161"/>
    </row>
    <row r="26" spans="1:44" ht="24.95" customHeight="1">
      <c r="I26" s="44">
        <v>39</v>
      </c>
      <c r="L26" s="44"/>
      <c r="M26" s="44"/>
      <c r="N26" s="44">
        <v>10</v>
      </c>
      <c r="O26" s="44"/>
      <c r="P26" s="44"/>
      <c r="Q26" s="44"/>
      <c r="R26" s="44"/>
      <c r="S26" s="44">
        <v>7</v>
      </c>
      <c r="T26" s="44"/>
      <c r="U26" s="44"/>
      <c r="V26" s="44"/>
      <c r="W26" s="44"/>
      <c r="X26" s="44">
        <v>4</v>
      </c>
      <c r="Y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R26" s="44"/>
    </row>
    <row r="27" spans="1:44" ht="24.95" customHeight="1">
      <c r="H27" s="41"/>
      <c r="AA27" s="44"/>
    </row>
    <row r="28" spans="1:44" ht="24.95" customHeight="1">
      <c r="E28" s="44"/>
      <c r="F28" s="41"/>
      <c r="G28" s="41"/>
    </row>
    <row r="33" spans="2:7" ht="18.75">
      <c r="B33" s="44"/>
      <c r="C33" s="44" t="s">
        <v>41</v>
      </c>
      <c r="D33" s="44"/>
      <c r="E33" s="44"/>
      <c r="F33" s="44"/>
      <c r="G33" s="44"/>
    </row>
    <row r="34" spans="2:7" ht="18.75">
      <c r="B34" s="144" t="s">
        <v>42</v>
      </c>
      <c r="C34" s="214" t="s">
        <v>101</v>
      </c>
      <c r="D34" s="44"/>
      <c r="F34" s="41"/>
      <c r="G34" s="41"/>
    </row>
    <row r="35" spans="2:7" ht="18.75">
      <c r="B35" s="145" t="s">
        <v>43</v>
      </c>
      <c r="C35" s="214" t="s">
        <v>102</v>
      </c>
      <c r="D35" s="41"/>
      <c r="F35" s="41"/>
      <c r="G35" s="41"/>
    </row>
  </sheetData>
  <sheetProtection sheet="1" objects="1" scenarios="1" formatCells="0" formatColumns="0" formatRows="0" insertColumns="0" insertRows="0" insertHyperlinks="0" deleteColumns="0" deleteRows="0" sort="0"/>
  <mergeCells count="1">
    <mergeCell ref="AO4:AQ4"/>
  </mergeCells>
  <conditionalFormatting sqref="AJ6:AJ19">
    <cfRule type="duplicateValues" dxfId="9" priority="1"/>
  </conditionalFormatting>
  <pageMargins left="0.27" right="0.41" top="0.28999999999999998" bottom="0.35433070866141736" header="0.25" footer="0.23622047244094491"/>
  <pageSetup orientation="landscape" horizontalDpi="4294967293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00"/>
  </sheetPr>
  <dimension ref="A1:AQ37"/>
  <sheetViews>
    <sheetView zoomScale="60" zoomScaleNormal="60" zoomScaleSheetLayoutView="50" workbookViewId="0">
      <selection activeCell="R29" sqref="R29"/>
    </sheetView>
  </sheetViews>
  <sheetFormatPr baseColWidth="10" defaultRowHeight="15"/>
  <cols>
    <col min="1" max="1" width="6.140625" style="161" customWidth="1"/>
    <col min="2" max="2" width="27.7109375" style="161" customWidth="1"/>
    <col min="3" max="3" width="21" style="161" customWidth="1"/>
    <col min="4" max="4" width="10.85546875" style="161" customWidth="1"/>
    <col min="5" max="5" width="6.85546875" style="161" customWidth="1"/>
    <col min="6" max="6" width="7.140625" style="161" customWidth="1"/>
    <col min="7" max="7" width="7.140625" style="161" hidden="1" customWidth="1"/>
    <col min="8" max="8" width="28.140625" style="161" customWidth="1"/>
    <col min="9" max="9" width="5.42578125" style="161" hidden="1" customWidth="1"/>
    <col min="10" max="10" width="9.5703125" style="161" customWidth="1"/>
    <col min="11" max="11" width="7.42578125" style="161" customWidth="1"/>
    <col min="12" max="12" width="9.140625" style="161" customWidth="1"/>
    <col min="13" max="13" width="30.140625" style="161" customWidth="1"/>
    <col min="14" max="14" width="4" style="161" hidden="1" customWidth="1"/>
    <col min="15" max="15" width="7.85546875" style="161" customWidth="1"/>
    <col min="16" max="16" width="7.7109375" style="161" customWidth="1"/>
    <col min="17" max="17" width="11.7109375" style="161" customWidth="1"/>
    <col min="18" max="18" width="26" style="161" customWidth="1"/>
    <col min="19" max="19" width="5.28515625" style="161" hidden="1" customWidth="1"/>
    <col min="20" max="20" width="9.7109375" style="161" customWidth="1"/>
    <col min="21" max="21" width="7" style="161" customWidth="1"/>
    <col min="22" max="22" width="9.42578125" style="161" customWidth="1"/>
    <col min="23" max="23" width="28.5703125" style="161" customWidth="1"/>
    <col min="24" max="24" width="5.42578125" style="161" hidden="1" customWidth="1"/>
    <col min="25" max="25" width="6.140625" style="161" customWidth="1"/>
    <col min="26" max="26" width="7" style="161" customWidth="1"/>
    <col min="27" max="27" width="6.7109375" style="161" hidden="1" customWidth="1"/>
    <col min="28" max="28" width="25.5703125" style="161" hidden="1" customWidth="1"/>
    <col min="29" max="32" width="8.42578125" style="161" hidden="1" customWidth="1"/>
    <col min="33" max="33" width="12" style="161" hidden="1" customWidth="1"/>
    <col min="34" max="34" width="14.28515625" style="161" hidden="1" customWidth="1"/>
    <col min="35" max="35" width="12.5703125" style="161" hidden="1" customWidth="1"/>
    <col min="36" max="36" width="14" style="161" customWidth="1"/>
    <col min="37" max="37" width="29.7109375" style="161" customWidth="1"/>
    <col min="38" max="38" width="16" style="161" customWidth="1"/>
    <col min="39" max="39" width="6.42578125" style="161" customWidth="1"/>
    <col min="40" max="40" width="21.140625" style="161" customWidth="1"/>
    <col min="41" max="41" width="12.140625" style="161" customWidth="1"/>
    <col min="42" max="42" width="45.7109375" customWidth="1"/>
    <col min="43" max="43" width="15.7109375" customWidth="1"/>
    <col min="44" max="44" width="10" style="161" customWidth="1"/>
    <col min="45" max="16384" width="11.42578125" style="161"/>
  </cols>
  <sheetData>
    <row r="1" spans="1:43" s="415" customFormat="1" ht="45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R1" s="412" t="s">
        <v>138</v>
      </c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P1"/>
      <c r="AQ1"/>
    </row>
    <row r="2" spans="1:43" ht="29.25" customHeight="1" thickBot="1">
      <c r="A2" s="44"/>
      <c r="B2" s="357" t="s">
        <v>126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R2" s="44"/>
      <c r="S2" s="44"/>
      <c r="T2" s="44"/>
      <c r="U2" s="44"/>
      <c r="V2" s="113"/>
      <c r="W2" s="113"/>
      <c r="X2" s="44"/>
      <c r="Y2" s="44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</row>
    <row r="3" spans="1:43" ht="28.5" customHeight="1" thickBot="1">
      <c r="A3" s="44"/>
      <c r="B3" s="44"/>
      <c r="C3" s="44"/>
      <c r="D3" s="44"/>
      <c r="E3" s="44"/>
      <c r="F3" s="44"/>
      <c r="G3" s="44"/>
      <c r="H3" s="44"/>
      <c r="I3" s="44"/>
      <c r="J3" s="47"/>
      <c r="K3" s="47"/>
      <c r="L3" s="47"/>
      <c r="M3" s="47"/>
      <c r="N3" s="61"/>
      <c r="O3" s="44"/>
      <c r="P3" s="44"/>
      <c r="Q3" s="44"/>
      <c r="R3" s="44"/>
      <c r="S3" s="44"/>
      <c r="T3" s="47"/>
      <c r="U3" s="47"/>
      <c r="V3" s="47"/>
      <c r="W3" s="47"/>
      <c r="X3" s="47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</row>
    <row r="4" spans="1:43" ht="24.95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 s="766" t="s">
        <v>129</v>
      </c>
      <c r="AL4" s="767"/>
      <c r="AO4" s="772" t="s">
        <v>113</v>
      </c>
      <c r="AP4" s="773"/>
      <c r="AQ4" s="774"/>
    </row>
    <row r="5" spans="1:43" ht="24.95" customHeight="1" thickBot="1">
      <c r="A5" s="44"/>
      <c r="B5" s="44"/>
      <c r="C5" s="44"/>
      <c r="D5" s="44"/>
      <c r="E5" s="44"/>
      <c r="F5" s="44"/>
      <c r="G5" s="44"/>
      <c r="H5" s="46"/>
      <c r="I5" s="46"/>
      <c r="J5" s="46"/>
      <c r="K5" s="44"/>
      <c r="L5" s="44"/>
      <c r="M5" s="44" t="s">
        <v>6</v>
      </c>
      <c r="N5" s="405" t="s">
        <v>108</v>
      </c>
      <c r="O5" s="44" t="s">
        <v>107</v>
      </c>
      <c r="P5" s="44"/>
      <c r="Q5" s="46"/>
      <c r="R5" s="46"/>
      <c r="S5" s="46"/>
      <c r="T5" s="44"/>
      <c r="U5" s="44"/>
      <c r="V5" s="44"/>
      <c r="W5" s="44"/>
      <c r="X5" s="44"/>
      <c r="Y5" s="44"/>
      <c r="Z5" s="113"/>
      <c r="AA5" s="113"/>
      <c r="AB5" s="151" t="s">
        <v>111</v>
      </c>
      <c r="AC5" s="304" t="s">
        <v>189</v>
      </c>
      <c r="AD5" s="304" t="s">
        <v>190</v>
      </c>
      <c r="AE5" s="304" t="s">
        <v>191</v>
      </c>
      <c r="AF5" s="151" t="s">
        <v>227</v>
      </c>
      <c r="AG5" s="151" t="s">
        <v>193</v>
      </c>
      <c r="AH5" s="295" t="s">
        <v>109</v>
      </c>
      <c r="AI5" s="305" t="s">
        <v>110</v>
      </c>
      <c r="AJ5" s="433" t="s">
        <v>238</v>
      </c>
      <c r="AK5" s="366" t="s">
        <v>111</v>
      </c>
      <c r="AL5" s="366" t="s">
        <v>192</v>
      </c>
      <c r="AN5" s="238" t="s">
        <v>12</v>
      </c>
      <c r="AO5" s="112" t="s">
        <v>56</v>
      </c>
      <c r="AP5" s="239" t="s">
        <v>241</v>
      </c>
      <c r="AQ5" s="239" t="s">
        <v>16</v>
      </c>
    </row>
    <row r="6" spans="1:43" ht="24.95" customHeight="1" thickBot="1">
      <c r="A6" s="44"/>
      <c r="B6" s="44"/>
      <c r="C6" s="44"/>
      <c r="D6" s="44"/>
      <c r="E6" s="44"/>
      <c r="F6" s="44"/>
      <c r="G6" s="44"/>
      <c r="H6" s="46"/>
      <c r="I6" s="46"/>
      <c r="J6" s="46"/>
      <c r="K6" s="44"/>
      <c r="L6" s="585" t="s">
        <v>2</v>
      </c>
      <c r="M6" s="519" t="str">
        <f>IF(J8=J9,"Gagnant du 1",IF(J8&gt;J9,H8,H9))</f>
        <v>Gagnant du 1</v>
      </c>
      <c r="N6" s="133">
        <f>IF(O6=O7,0,IF(O6&lt;O7,0,2))</f>
        <v>0</v>
      </c>
      <c r="O6" s="656"/>
      <c r="P6" s="44"/>
      <c r="Q6" s="44"/>
      <c r="R6" s="44" t="s">
        <v>49</v>
      </c>
      <c r="S6" s="405" t="s">
        <v>108</v>
      </c>
      <c r="T6" s="44" t="s">
        <v>107</v>
      </c>
      <c r="U6" s="44"/>
      <c r="V6" s="44"/>
      <c r="W6" s="44"/>
      <c r="X6" s="44"/>
      <c r="Y6" s="44"/>
      <c r="Z6" s="113"/>
      <c r="AA6" s="136">
        <v>1</v>
      </c>
      <c r="AB6" s="307">
        <f>+B8</f>
        <v>0</v>
      </c>
      <c r="AC6" s="211" t="str">
        <f>IF(ISNA(VLOOKUP(AB6,$H$8:$I$21,2,0)),"",VLOOKUP(AB6,$H$8:$I$21,2,0))</f>
        <v/>
      </c>
      <c r="AD6" s="211" t="str">
        <f>IF(ISNA(VLOOKUP(AB6,$M$6:$N$23,2,0)),"",VLOOKUP(AB6,$M$6:$N$23,2,0))</f>
        <v/>
      </c>
      <c r="AE6" s="211" t="str">
        <f>IF(ISNA(VLOOKUP(AB6,$R$7:$S$22,3,0)),"",VLOOKUP(AB6,$R$7:$S$22,2,0))</f>
        <v/>
      </c>
      <c r="AF6" s="269" t="str">
        <f>IF(ISNA(VLOOKUP(AB6,$W$8:$X$22,2,0)),"",VLOOKUP(AB6,$W$8:$X$22,2,0))</f>
        <v/>
      </c>
      <c r="AG6" s="346">
        <f>SUM(AC6:AF6)</f>
        <v>0</v>
      </c>
      <c r="AH6" s="299">
        <f>IF(OR(AB6="",AG6=""),"",RANK(AG6,$AG$6:$AG$20)+COUNTIF(AB$6:AB$20,"&lt;="&amp;AB6+1)/10000+ROW()/100000)</f>
        <v>1.00146</v>
      </c>
      <c r="AI6" s="194">
        <f>IF(AB6="","",SMALL(AH$6:AH$20,ROWS(AL$6:AL6)))</f>
        <v>1.00146</v>
      </c>
      <c r="AJ6" s="651">
        <f>IF(AI6="","",1)</f>
        <v>1</v>
      </c>
      <c r="AK6" s="654">
        <f>IF(OR(AB6="",AG6=""),"",INDEX($AB$6:$AB$20,MATCH(AI6,$AH$6:$AH$20,0)))</f>
        <v>0</v>
      </c>
      <c r="AL6" s="737">
        <f>IF(AB6="","",INDEX($AG$6:$AG$20,MATCH(AI6,$AH$6:$AH$20,0)))</f>
        <v>0</v>
      </c>
      <c r="AN6" s="585" t="s">
        <v>115</v>
      </c>
      <c r="AO6" s="491">
        <v>2</v>
      </c>
      <c r="AP6" s="136" t="s">
        <v>242</v>
      </c>
      <c r="AQ6" s="256" t="s">
        <v>323</v>
      </c>
    </row>
    <row r="7" spans="1:43" ht="24.95" customHeight="1" thickBot="1">
      <c r="A7" s="190"/>
      <c r="B7" s="381" t="s">
        <v>103</v>
      </c>
      <c r="C7" s="86" t="s">
        <v>13</v>
      </c>
      <c r="D7" s="86" t="s">
        <v>104</v>
      </c>
      <c r="E7" s="44"/>
      <c r="F7" s="44"/>
      <c r="G7" s="44"/>
      <c r="H7" s="44" t="s">
        <v>4</v>
      </c>
      <c r="I7" s="405" t="s">
        <v>108</v>
      </c>
      <c r="J7" s="44" t="s">
        <v>107</v>
      </c>
      <c r="K7" s="44"/>
      <c r="L7" s="589">
        <v>3</v>
      </c>
      <c r="M7" s="520" t="str">
        <f>IF(J10=J11,"Gagnant du 2",IF(J10&gt;J11,H10,H11))</f>
        <v>Gagnant du 2</v>
      </c>
      <c r="N7" s="129">
        <f>IF(O6=O7,0,IF(O6&gt;O7,0,2))</f>
        <v>0</v>
      </c>
      <c r="O7" s="657"/>
      <c r="P7" s="44"/>
      <c r="Q7" s="585" t="s">
        <v>2</v>
      </c>
      <c r="R7" s="528" t="str">
        <f>IF(O6=O7,"Gagnant du 3",IF(O6&gt;O7,M6,M7))</f>
        <v>Gagnant du 3</v>
      </c>
      <c r="S7" s="171">
        <f>IF(T7=T8,0,IF(T7&lt;T8,0,2))</f>
        <v>0</v>
      </c>
      <c r="T7" s="656"/>
      <c r="U7" s="44"/>
      <c r="V7" s="44"/>
      <c r="W7" s="44" t="s">
        <v>9</v>
      </c>
      <c r="X7" s="405" t="s">
        <v>108</v>
      </c>
      <c r="Y7" s="44" t="s">
        <v>107</v>
      </c>
      <c r="Z7" s="61"/>
      <c r="AA7" s="137">
        <v>2</v>
      </c>
      <c r="AB7" s="332">
        <f>+B9</f>
        <v>0</v>
      </c>
      <c r="AC7" s="210" t="str">
        <f t="shared" ref="AC7:AC19" si="0">IF(ISNA(VLOOKUP(AB7,$H$8:$I$21,2,0)),"",VLOOKUP(AB7,$H$8:$I$21,2,0))</f>
        <v/>
      </c>
      <c r="AD7" s="210" t="str">
        <f t="shared" ref="AD7:AD19" si="1">IF(ISNA(VLOOKUP(AB7,$M$6:$N$23,2,0)),"",VLOOKUP(AB7,$M$6:$N$23,2,0))</f>
        <v/>
      </c>
      <c r="AE7" s="210" t="str">
        <f t="shared" ref="AE7:AE19" si="2">IF(ISNA(VLOOKUP(AB7,$R$7:$S$22,3,0)),"",VLOOKUP(AB7,$R$7:$S$22,2,0))</f>
        <v/>
      </c>
      <c r="AF7" s="157" t="str">
        <f t="shared" ref="AF7:AF18" si="3">IF(ISNA(VLOOKUP(AB7,$W$8:$X$22,2,0)),"",VLOOKUP(AB7,$W$8:$X$22,2,0))</f>
        <v/>
      </c>
      <c r="AG7" s="347">
        <f t="shared" ref="AG7:AG19" si="4">SUM(AC7:AF7)</f>
        <v>0</v>
      </c>
      <c r="AH7" s="299">
        <f t="shared" ref="AH7:AH19" si="5">IF(OR(AB7="",AG7=""),"",RANK(AG7,$AG$6:$AG$20)+COUNTIF(AB$6:AB$20,"&lt;="&amp;AB7+1)/10000+ROW()/100000)</f>
        <v>1.0014700000000001</v>
      </c>
      <c r="AI7" s="194">
        <f>IF(AB7="","",SMALL(AH$6:AH$20,ROWS(AL$6:AL7)))</f>
        <v>1.0014700000000001</v>
      </c>
      <c r="AJ7" s="652">
        <f>IF(AI7="","",IF(AND(AL6=AL7),$AJ6,$AJ$6+1))</f>
        <v>1</v>
      </c>
      <c r="AK7" s="437">
        <f t="shared" ref="AK7:AK19" si="6">IF(OR(AB7="",AG7=""),"",INDEX($AB$6:$AB$20,MATCH(AI7,$AH$6:$AH$20,0)))</f>
        <v>0</v>
      </c>
      <c r="AL7" s="438">
        <f t="shared" ref="AL7:AL19" si="7">IF(AB7="","",INDEX($AG$6:$AG$20,MATCH(AI7,$AH$6:$AH$20,0)))</f>
        <v>0</v>
      </c>
      <c r="AN7" s="586" t="s">
        <v>15</v>
      </c>
      <c r="AO7" s="492">
        <v>2</v>
      </c>
      <c r="AP7" s="137" t="s">
        <v>275</v>
      </c>
      <c r="AQ7" s="266" t="s">
        <v>311</v>
      </c>
    </row>
    <row r="8" spans="1:43" ht="24.95" customHeight="1" thickBot="1">
      <c r="A8" s="87">
        <v>1</v>
      </c>
      <c r="B8" s="555"/>
      <c r="C8" s="556"/>
      <c r="D8" s="89"/>
      <c r="E8" s="44"/>
      <c r="F8" s="590" t="s">
        <v>2</v>
      </c>
      <c r="G8" s="475">
        <v>1</v>
      </c>
      <c r="H8" s="182" t="str">
        <f>IF(ISNA(MATCH(G8,$D$8:$D$21,0)),"",INDEX(B$8:$B$21,MATCH(G8,$D$8:$D$21,0)))</f>
        <v/>
      </c>
      <c r="I8" s="125">
        <f>IF(J8=J9,0,IF(J8&lt;J9,2,4))</f>
        <v>0</v>
      </c>
      <c r="J8" s="656"/>
      <c r="K8" s="47"/>
      <c r="L8" s="585" t="s">
        <v>2</v>
      </c>
      <c r="M8" s="521" t="str">
        <f>IF(J12=J13,"Gagnant du 3",IF(J12&gt;J13,H12,H13))</f>
        <v>Gagnant du 3</v>
      </c>
      <c r="N8" s="133">
        <f>IF(O8=O9,0,IF(O8&lt;O9,0,2))</f>
        <v>0</v>
      </c>
      <c r="O8" s="656"/>
      <c r="P8" s="47"/>
      <c r="Q8" s="589">
        <v>6</v>
      </c>
      <c r="R8" s="627" t="str">
        <f>IF(O8=O9,"Gagnant du 5",IF(O8&gt;O9,M8,M9))</f>
        <v>Gagnant du 5</v>
      </c>
      <c r="S8" s="156">
        <f>IF(T7=T8,0,IF(T7&gt;T8,0,2))</f>
        <v>0</v>
      </c>
      <c r="T8" s="657"/>
      <c r="U8" s="47"/>
      <c r="V8" s="585" t="s">
        <v>2</v>
      </c>
      <c r="W8" s="528" t="str">
        <f>IF(T7=T8,"Gagnant du 6",IF(T7&gt;T8,R7,R8))</f>
        <v>Gagnant du 6</v>
      </c>
      <c r="X8" s="171">
        <f>IF(Y8=Y9,0,IF(Y8&lt;Y9,0,2))</f>
        <v>0</v>
      </c>
      <c r="Y8" s="656"/>
      <c r="Z8" s="61"/>
      <c r="AA8" s="137">
        <v>3</v>
      </c>
      <c r="AB8" s="332">
        <f t="shared" ref="AB8:AB19" si="8">+B10</f>
        <v>0</v>
      </c>
      <c r="AC8" s="210" t="str">
        <f t="shared" si="0"/>
        <v/>
      </c>
      <c r="AD8" s="210" t="str">
        <f t="shared" si="1"/>
        <v/>
      </c>
      <c r="AE8" s="210" t="str">
        <f t="shared" si="2"/>
        <v/>
      </c>
      <c r="AF8" s="157" t="str">
        <f t="shared" si="3"/>
        <v/>
      </c>
      <c r="AG8" s="347">
        <f t="shared" si="4"/>
        <v>0</v>
      </c>
      <c r="AH8" s="299">
        <f t="shared" si="5"/>
        <v>1.0014800000000001</v>
      </c>
      <c r="AI8" s="194">
        <f>IF(AB8="","",SMALL(AH$6:AH$20,ROWS(AL$6:AL8)))</f>
        <v>1.0014800000000001</v>
      </c>
      <c r="AJ8" s="652">
        <f>IF(AI8="","",IF(AND(AL7=AL8),$AJ7,$AJ$6+2))</f>
        <v>1</v>
      </c>
      <c r="AK8" s="437">
        <f t="shared" si="6"/>
        <v>0</v>
      </c>
      <c r="AL8" s="438">
        <f t="shared" si="7"/>
        <v>0</v>
      </c>
      <c r="AN8" s="586" t="s">
        <v>114</v>
      </c>
      <c r="AO8" s="492">
        <v>2</v>
      </c>
      <c r="AP8" s="137" t="s">
        <v>244</v>
      </c>
      <c r="AQ8" s="266" t="s">
        <v>316</v>
      </c>
    </row>
    <row r="9" spans="1:43" ht="24.95" customHeight="1" thickBot="1">
      <c r="A9" s="94">
        <v>2</v>
      </c>
      <c r="B9" s="557"/>
      <c r="C9" s="558"/>
      <c r="D9" s="96"/>
      <c r="E9" s="44"/>
      <c r="F9" s="591">
        <v>1</v>
      </c>
      <c r="G9" s="476">
        <v>2</v>
      </c>
      <c r="H9" s="183" t="str">
        <f>IF(ISNA(MATCH(G9,$D$8:$D$21,0)),"",INDEX(B$8:$B$21,MATCH(G9,$D$8:$D$21,0)))</f>
        <v/>
      </c>
      <c r="I9" s="129">
        <f>IF(J8=J9,0,IF(J8&gt;J9,2,4))</f>
        <v>0</v>
      </c>
      <c r="J9" s="657"/>
      <c r="K9" s="44"/>
      <c r="L9" s="589">
        <v>5</v>
      </c>
      <c r="M9" s="520" t="str">
        <f>IF(J14=J15,"Gagnant du 4",IF(J14&gt;J15,H14,H15))</f>
        <v>Gagnant du 4</v>
      </c>
      <c r="N9" s="129">
        <f>IF(O8=O9,0,IF(O8&gt;O9,0,2))</f>
        <v>0</v>
      </c>
      <c r="O9" s="657"/>
      <c r="P9" s="44"/>
      <c r="Q9" s="585" t="s">
        <v>2</v>
      </c>
      <c r="R9" s="528" t="str">
        <f>IF(O12=O13,"Gagnant du 1",IF(O12&gt;O13,M12,M13))</f>
        <v>Gagnant du 7</v>
      </c>
      <c r="S9" s="171">
        <f>IF(T9=T10,0,IF(T9&lt;T10,0,2))</f>
        <v>0</v>
      </c>
      <c r="T9" s="656"/>
      <c r="U9" s="44"/>
      <c r="V9" s="589">
        <v>4</v>
      </c>
      <c r="W9" s="520" t="str">
        <f>IF(T9=T10,"Gagnant du 2",IF(T9&gt;T10,R9,R10))</f>
        <v>Gagnant du 2</v>
      </c>
      <c r="X9" s="156">
        <f>IF(Y8=Y9,0,IF(Y8&gt;Y9,0,2))</f>
        <v>0</v>
      </c>
      <c r="Y9" s="657"/>
      <c r="Z9" s="113"/>
      <c r="AA9" s="137">
        <v>4</v>
      </c>
      <c r="AB9" s="332">
        <f t="shared" si="8"/>
        <v>0</v>
      </c>
      <c r="AC9" s="210" t="str">
        <f t="shared" si="0"/>
        <v/>
      </c>
      <c r="AD9" s="210" t="str">
        <f t="shared" si="1"/>
        <v/>
      </c>
      <c r="AE9" s="210" t="str">
        <f t="shared" si="2"/>
        <v/>
      </c>
      <c r="AF9" s="157" t="str">
        <f t="shared" si="3"/>
        <v/>
      </c>
      <c r="AG9" s="347">
        <f t="shared" si="4"/>
        <v>0</v>
      </c>
      <c r="AH9" s="299">
        <f t="shared" si="5"/>
        <v>1.00149</v>
      </c>
      <c r="AI9" s="194">
        <f>IF(AB9="","",SMALL(AH$6:AH$20,ROWS(AL$6:AL9)))</f>
        <v>1.00149</v>
      </c>
      <c r="AJ9" s="652">
        <f>IF(AI9="","",IF(AND(AL8=AL9),$AJ8,$AJ$6+3))</f>
        <v>1</v>
      </c>
      <c r="AK9" s="437">
        <f t="shared" si="6"/>
        <v>0</v>
      </c>
      <c r="AL9" s="438">
        <f t="shared" si="7"/>
        <v>0</v>
      </c>
      <c r="AN9" s="586" t="s">
        <v>114</v>
      </c>
      <c r="AO9" s="493">
        <v>2</v>
      </c>
      <c r="AP9" s="138" t="s">
        <v>244</v>
      </c>
      <c r="AQ9" s="258" t="s">
        <v>316</v>
      </c>
    </row>
    <row r="10" spans="1:43" ht="24.95" customHeight="1" thickBot="1">
      <c r="A10" s="94">
        <v>3</v>
      </c>
      <c r="B10" s="559"/>
      <c r="C10" s="560"/>
      <c r="D10" s="96"/>
      <c r="E10" s="44"/>
      <c r="F10" s="590" t="s">
        <v>2</v>
      </c>
      <c r="G10" s="475">
        <v>3</v>
      </c>
      <c r="H10" s="184" t="str">
        <f>IF(ISNA(MATCH(G10,$D$8:$D$21,0)),"",INDEX(B$8:$B$21,MATCH(G10,$D$8:$D$21,0)))</f>
        <v/>
      </c>
      <c r="I10" s="125">
        <f>IF(J10=J11,0,IF(J10&lt;J11,2,4))</f>
        <v>0</v>
      </c>
      <c r="J10" s="658"/>
      <c r="K10" s="44"/>
      <c r="L10" s="585" t="s">
        <v>2</v>
      </c>
      <c r="M10" s="521" t="str">
        <f>IF(J16=J17,"Gagnant du 5",IF(J16&gt;J17,H16,H17))</f>
        <v>Gagnant du 5</v>
      </c>
      <c r="N10" s="133">
        <f>IF(O10=O11,0,IF(O10&lt;O11,0,2))</f>
        <v>0</v>
      </c>
      <c r="O10" s="656"/>
      <c r="P10" s="44"/>
      <c r="Q10" s="589">
        <v>2</v>
      </c>
      <c r="R10" s="520" t="str">
        <f>IF(O10=O11,"Gagnant du 7",IF(O10&gt;O11,M10,M11))</f>
        <v>Gagnant du 7</v>
      </c>
      <c r="S10" s="156">
        <f>IF(T9=T10,0,IF(T9&gt;T10,0,2))</f>
        <v>0</v>
      </c>
      <c r="T10" s="657"/>
      <c r="U10" s="44"/>
      <c r="V10" s="44"/>
      <c r="W10" s="131"/>
      <c r="X10" s="131"/>
      <c r="Y10" s="44"/>
      <c r="Z10" s="113"/>
      <c r="AA10" s="137">
        <v>5</v>
      </c>
      <c r="AB10" s="332">
        <f t="shared" si="8"/>
        <v>0</v>
      </c>
      <c r="AC10" s="210" t="str">
        <f t="shared" si="0"/>
        <v/>
      </c>
      <c r="AD10" s="210" t="str">
        <f t="shared" si="1"/>
        <v/>
      </c>
      <c r="AE10" s="210" t="str">
        <f t="shared" si="2"/>
        <v/>
      </c>
      <c r="AF10" s="157" t="str">
        <f t="shared" si="3"/>
        <v/>
      </c>
      <c r="AG10" s="347">
        <f t="shared" si="4"/>
        <v>0</v>
      </c>
      <c r="AH10" s="299">
        <f t="shared" si="5"/>
        <v>1.0015000000000001</v>
      </c>
      <c r="AI10" s="194">
        <f>IF(AB10="","",SMALL(AH$6:AH$20,ROWS(AL$6:AL10)))</f>
        <v>1.0015000000000001</v>
      </c>
      <c r="AJ10" s="652">
        <f>IF(AI10="","",IF(AND(AL9=AL10),$AJ9,$AJ$6+4))</f>
        <v>1</v>
      </c>
      <c r="AK10" s="437">
        <f t="shared" si="6"/>
        <v>0</v>
      </c>
      <c r="AL10" s="438">
        <f t="shared" si="7"/>
        <v>0</v>
      </c>
      <c r="AN10" s="660" t="s">
        <v>118</v>
      </c>
      <c r="AO10" s="491">
        <v>2</v>
      </c>
      <c r="AP10" s="259" t="s">
        <v>272</v>
      </c>
      <c r="AQ10" s="256" t="s">
        <v>330</v>
      </c>
    </row>
    <row r="11" spans="1:43" ht="24.95" customHeight="1" thickBot="1">
      <c r="A11" s="94">
        <v>4</v>
      </c>
      <c r="B11" s="557"/>
      <c r="C11" s="558"/>
      <c r="D11" s="96"/>
      <c r="E11" s="44"/>
      <c r="F11" s="591">
        <v>2</v>
      </c>
      <c r="G11" s="476">
        <v>4</v>
      </c>
      <c r="H11" s="185" t="str">
        <f>IF(ISNA(MATCH(G11,$D$8:$D$21,0)),"",INDEX(B$8:$B$21,MATCH(G11,$D$8:$D$21,0)))</f>
        <v/>
      </c>
      <c r="I11" s="129">
        <f>IF(J10=J11,0,IF(J10&gt;J11,2,4))</f>
        <v>0</v>
      </c>
      <c r="J11" s="659"/>
      <c r="K11" s="47"/>
      <c r="L11" s="589">
        <v>7</v>
      </c>
      <c r="M11" s="520" t="str">
        <f>IF(J18=J19,"Gagnant du 6",IF(J18&gt;J19,H18,H19))</f>
        <v>Gagnant du 6</v>
      </c>
      <c r="N11" s="129">
        <f>IF(O10=O11,0,IF(O10&gt;O11,0,2))</f>
        <v>0</v>
      </c>
      <c r="O11" s="657"/>
      <c r="P11" s="47"/>
      <c r="Q11" s="44"/>
      <c r="R11" s="131"/>
      <c r="S11" s="131"/>
      <c r="T11" s="44"/>
      <c r="U11" s="47"/>
      <c r="V11" s="44"/>
      <c r="W11" s="131"/>
      <c r="X11" s="131"/>
      <c r="Y11" s="44"/>
      <c r="Z11" s="61"/>
      <c r="AA11" s="137">
        <v>6</v>
      </c>
      <c r="AB11" s="332">
        <f t="shared" si="8"/>
        <v>0</v>
      </c>
      <c r="AC11" s="210" t="str">
        <f t="shared" si="0"/>
        <v/>
      </c>
      <c r="AD11" s="210" t="str">
        <f t="shared" si="1"/>
        <v/>
      </c>
      <c r="AE11" s="210" t="str">
        <f t="shared" si="2"/>
        <v/>
      </c>
      <c r="AF11" s="157" t="str">
        <f t="shared" si="3"/>
        <v/>
      </c>
      <c r="AG11" s="347">
        <f t="shared" si="4"/>
        <v>0</v>
      </c>
      <c r="AH11" s="299">
        <f t="shared" si="5"/>
        <v>1.0015100000000001</v>
      </c>
      <c r="AI11" s="194">
        <f>IF(AB11="","",SMALL(AH$6:AH$20,ROWS(AL$6:AL11)))</f>
        <v>1.0015100000000001</v>
      </c>
      <c r="AJ11" s="652">
        <f>IF(AI11="","",IF(AND(AL10=AL11),$AJ10,$AJ$6+5))</f>
        <v>1</v>
      </c>
      <c r="AK11" s="437">
        <f t="shared" si="6"/>
        <v>0</v>
      </c>
      <c r="AL11" s="438">
        <f t="shared" si="7"/>
        <v>0</v>
      </c>
      <c r="AN11" s="661" t="s">
        <v>20</v>
      </c>
      <c r="AO11" s="492">
        <v>2</v>
      </c>
      <c r="AP11" s="137" t="s">
        <v>248</v>
      </c>
      <c r="AQ11" s="266" t="s">
        <v>324</v>
      </c>
    </row>
    <row r="12" spans="1:43" ht="24.95" customHeight="1" thickBot="1">
      <c r="A12" s="94">
        <v>5</v>
      </c>
      <c r="B12" s="559"/>
      <c r="C12" s="560"/>
      <c r="D12" s="96"/>
      <c r="E12" s="44"/>
      <c r="F12" s="590" t="s">
        <v>2</v>
      </c>
      <c r="G12" s="475">
        <v>5</v>
      </c>
      <c r="H12" s="184" t="str">
        <f>IF(ISNA(MATCH(G12,$D$8:$D$21,0)),"",INDEX(B$8:$B$21,MATCH(G12,$D$8:$D$21,0)))</f>
        <v/>
      </c>
      <c r="I12" s="125">
        <f>IF(J12=J13,0,IF(J12&lt;J13,2,4))</f>
        <v>0</v>
      </c>
      <c r="J12" s="656"/>
      <c r="K12" s="44"/>
      <c r="L12" s="585" t="s">
        <v>2</v>
      </c>
      <c r="M12" s="521" t="str">
        <f>IF(J20=J21,"Gagnant du 7",IF(J20&gt;J21,H20,H21))</f>
        <v>Gagnant du 7</v>
      </c>
      <c r="N12" s="123">
        <v>1</v>
      </c>
      <c r="O12" s="121">
        <v>1</v>
      </c>
      <c r="P12" s="44"/>
      <c r="Q12" s="44"/>
      <c r="R12" s="131" t="s">
        <v>51</v>
      </c>
      <c r="S12" s="131"/>
      <c r="T12" s="44"/>
      <c r="U12" s="44"/>
      <c r="V12" s="47"/>
      <c r="W12" s="147"/>
      <c r="X12" s="147"/>
      <c r="Y12" s="47"/>
      <c r="Z12" s="113"/>
      <c r="AA12" s="137">
        <v>7</v>
      </c>
      <c r="AB12" s="332">
        <f t="shared" si="8"/>
        <v>0</v>
      </c>
      <c r="AC12" s="210" t="str">
        <f t="shared" si="0"/>
        <v/>
      </c>
      <c r="AD12" s="210" t="str">
        <f t="shared" si="1"/>
        <v/>
      </c>
      <c r="AE12" s="210" t="str">
        <f t="shared" si="2"/>
        <v/>
      </c>
      <c r="AF12" s="157" t="str">
        <f t="shared" si="3"/>
        <v/>
      </c>
      <c r="AG12" s="347">
        <f t="shared" si="4"/>
        <v>0</v>
      </c>
      <c r="AH12" s="299">
        <f t="shared" si="5"/>
        <v>1.00152</v>
      </c>
      <c r="AI12" s="194">
        <f>IF(AB12="","",SMALL(AH$6:AH$20,ROWS(AL$6:AL12)))</f>
        <v>1.00152</v>
      </c>
      <c r="AJ12" s="652">
        <f>IF(AI12="","",IF(AND(AL11=AL12),$AJ11,$AJ$6+6))</f>
        <v>1</v>
      </c>
      <c r="AK12" s="437">
        <f t="shared" si="6"/>
        <v>0</v>
      </c>
      <c r="AL12" s="438">
        <f t="shared" si="7"/>
        <v>0</v>
      </c>
      <c r="AN12" s="662" t="s">
        <v>65</v>
      </c>
      <c r="AO12" s="493">
        <v>2</v>
      </c>
      <c r="AP12" s="138" t="s">
        <v>252</v>
      </c>
      <c r="AQ12" s="266">
        <v>4</v>
      </c>
    </row>
    <row r="13" spans="1:43" ht="24.95" customHeight="1" thickBot="1">
      <c r="A13" s="94">
        <v>6</v>
      </c>
      <c r="B13" s="557"/>
      <c r="C13" s="558"/>
      <c r="D13" s="96"/>
      <c r="E13" s="44"/>
      <c r="F13" s="591">
        <v>3</v>
      </c>
      <c r="G13" s="476">
        <v>6</v>
      </c>
      <c r="H13" s="185" t="str">
        <f>IF(ISNA(MATCH(G13,$D$8:$D$21,0)),"",INDEX(B$8:$B$21,MATCH(G13,$D$8:$D$21,0)))</f>
        <v/>
      </c>
      <c r="I13" s="129">
        <f>IF(J12=J13,0,IF(J12&gt;J13,2,4))</f>
        <v>0</v>
      </c>
      <c r="J13" s="657"/>
      <c r="K13" s="44"/>
      <c r="L13" s="282">
        <v>1</v>
      </c>
      <c r="M13" s="118" t="s">
        <v>105</v>
      </c>
      <c r="N13" s="124">
        <v>0</v>
      </c>
      <c r="O13" s="122"/>
      <c r="P13" s="44"/>
      <c r="Q13" s="522" t="s">
        <v>2</v>
      </c>
      <c r="R13" s="528" t="str">
        <f>IF(O18=O19,"Gagnant du 2",IF(O18&gt;O19,M18,M19))</f>
        <v>Gagnant du 2</v>
      </c>
      <c r="S13" s="171">
        <f>IF(T13=T14,0,IF(T13&lt;T14,0,1))</f>
        <v>0</v>
      </c>
      <c r="T13" s="631"/>
      <c r="U13" s="44"/>
      <c r="V13" s="44"/>
      <c r="W13" s="131" t="s">
        <v>10</v>
      </c>
      <c r="X13" s="131"/>
      <c r="Y13" s="44"/>
      <c r="Z13" s="61"/>
      <c r="AA13" s="137">
        <v>8</v>
      </c>
      <c r="AB13" s="332">
        <f t="shared" si="8"/>
        <v>0</v>
      </c>
      <c r="AC13" s="210" t="str">
        <f t="shared" si="0"/>
        <v/>
      </c>
      <c r="AD13" s="210" t="str">
        <f t="shared" si="1"/>
        <v/>
      </c>
      <c r="AE13" s="210" t="str">
        <f t="shared" si="2"/>
        <v/>
      </c>
      <c r="AF13" s="157" t="str">
        <f t="shared" si="3"/>
        <v/>
      </c>
      <c r="AG13" s="347">
        <f t="shared" si="4"/>
        <v>0</v>
      </c>
      <c r="AH13" s="299">
        <f t="shared" si="5"/>
        <v>1.00153</v>
      </c>
      <c r="AI13" s="194">
        <f>IF(AB13="","",SMALL(AH$6:AH$20,ROWS(AL$6:AL13)))</f>
        <v>1.00153</v>
      </c>
      <c r="AJ13" s="652">
        <f>IF(AI13="","",IF(AND(AL12=AL13),$AJ12,$AJ$6+7))</f>
        <v>1</v>
      </c>
      <c r="AK13" s="437">
        <f t="shared" si="6"/>
        <v>0</v>
      </c>
      <c r="AL13" s="438">
        <f t="shared" si="7"/>
        <v>0</v>
      </c>
      <c r="AN13" s="663" t="s">
        <v>117</v>
      </c>
      <c r="AO13" s="491">
        <v>2</v>
      </c>
      <c r="AP13" s="259" t="s">
        <v>267</v>
      </c>
      <c r="AQ13" s="256" t="s">
        <v>324</v>
      </c>
    </row>
    <row r="14" spans="1:43" ht="24.95" customHeight="1" thickBot="1">
      <c r="A14" s="94">
        <v>7</v>
      </c>
      <c r="B14" s="559"/>
      <c r="C14" s="560"/>
      <c r="D14" s="96"/>
      <c r="E14" s="44"/>
      <c r="F14" s="590" t="s">
        <v>2</v>
      </c>
      <c r="G14" s="475">
        <v>7</v>
      </c>
      <c r="H14" s="184" t="str">
        <f>IF(ISNA(MATCH(G14,$D$8:$D$21,0)),"",INDEX(B$8:$B$21,MATCH(G14,$D$8:$D$21,0)))</f>
        <v/>
      </c>
      <c r="I14" s="125">
        <f>IF(J14=J15,0,IF(J14&lt;J15,2,4))</f>
        <v>0</v>
      </c>
      <c r="J14" s="658"/>
      <c r="K14" s="44"/>
      <c r="M14" s="612" t="s">
        <v>232</v>
      </c>
      <c r="N14" s="192"/>
      <c r="P14" s="44"/>
      <c r="Q14" s="524">
        <v>5</v>
      </c>
      <c r="R14" s="627" t="str">
        <f>IF(O16=O17,"Gagnant du 8",IF(O16&gt;O17,M16,M17))</f>
        <v>Gagnant du 8</v>
      </c>
      <c r="S14" s="156">
        <f>IF(T13=T14,0,IF(T13&gt;T14,0,1))</f>
        <v>0</v>
      </c>
      <c r="T14" s="632"/>
      <c r="U14" s="44"/>
      <c r="V14" s="522" t="s">
        <v>2</v>
      </c>
      <c r="W14" s="528" t="str">
        <f>IF(T15=T16,"Gagnant du 3",IF(T15&gt;T16,R15,R16))</f>
        <v>Gagnant du 3</v>
      </c>
      <c r="X14" s="171">
        <f>IF(Y14=Y15,0,IF(Y14&lt;Y15,0,1))</f>
        <v>0</v>
      </c>
      <c r="Y14" s="631"/>
      <c r="Z14" s="61"/>
      <c r="AA14" s="137">
        <v>9</v>
      </c>
      <c r="AB14" s="332">
        <f t="shared" si="8"/>
        <v>0</v>
      </c>
      <c r="AC14" s="210" t="str">
        <f t="shared" si="0"/>
        <v/>
      </c>
      <c r="AD14" s="210" t="str">
        <f t="shared" si="1"/>
        <v/>
      </c>
      <c r="AE14" s="210" t="str">
        <f t="shared" si="2"/>
        <v/>
      </c>
      <c r="AF14" s="157" t="str">
        <f t="shared" si="3"/>
        <v/>
      </c>
      <c r="AG14" s="347">
        <f t="shared" si="4"/>
        <v>0</v>
      </c>
      <c r="AH14" s="299">
        <f t="shared" si="5"/>
        <v>1.0015400000000001</v>
      </c>
      <c r="AI14" s="194">
        <f>IF(AB14="","",SMALL(AH$6:AH$20,ROWS(AL$6:AL14)))</f>
        <v>1.0015400000000001</v>
      </c>
      <c r="AJ14" s="652">
        <f>IF(AI14="","",IF(AND(AL13=AL14),$AJ13,$AJ$6+8))</f>
        <v>1</v>
      </c>
      <c r="AK14" s="437">
        <f t="shared" si="6"/>
        <v>0</v>
      </c>
      <c r="AL14" s="438">
        <f t="shared" si="7"/>
        <v>0</v>
      </c>
      <c r="AN14" s="664" t="s">
        <v>18</v>
      </c>
      <c r="AO14" s="492">
        <v>2</v>
      </c>
      <c r="AP14" s="137" t="s">
        <v>250</v>
      </c>
      <c r="AQ14" s="458" t="s">
        <v>318</v>
      </c>
    </row>
    <row r="15" spans="1:43" ht="24.95" customHeight="1" thickBot="1">
      <c r="A15" s="94">
        <v>8</v>
      </c>
      <c r="B15" s="557"/>
      <c r="C15" s="558"/>
      <c r="D15" s="96"/>
      <c r="E15" s="44"/>
      <c r="F15" s="591">
        <v>4</v>
      </c>
      <c r="G15" s="476">
        <v>8</v>
      </c>
      <c r="H15" s="185" t="str">
        <f>IF(ISNA(MATCH(G15,$D$8:$D$21,0)),"",INDEX(B$8:$B$21,MATCH(G15,$D$8:$D$21,0)))</f>
        <v/>
      </c>
      <c r="I15" s="129">
        <f>IF(J14=J15,0,IF(J14&gt;J15,2,4))</f>
        <v>0</v>
      </c>
      <c r="J15" s="659"/>
      <c r="K15" s="44"/>
      <c r="L15" s="44"/>
      <c r="M15" s="131" t="s">
        <v>7</v>
      </c>
      <c r="N15" s="147"/>
      <c r="O15" s="47"/>
      <c r="P15" s="44"/>
      <c r="Q15" s="522" t="s">
        <v>2</v>
      </c>
      <c r="R15" s="528" t="str">
        <f>IF(O20=O21,"Gagnant du 4",IF(O20&gt;O21,M20,M21))</f>
        <v>Gagnant du 4</v>
      </c>
      <c r="S15" s="171">
        <f>IF(T15=T16,0,IF(T15&lt;T16,0,1))</f>
        <v>0</v>
      </c>
      <c r="T15" s="631"/>
      <c r="U15" s="44"/>
      <c r="V15" s="524">
        <v>1</v>
      </c>
      <c r="W15" s="520" t="str">
        <f>IF(T13=T14,"Gagnant du 5",IF(T13&gt;T14,R13,R14))</f>
        <v>Gagnant du 5</v>
      </c>
      <c r="X15" s="156">
        <f>IF(Y14=Y15,0,IF(Y14&gt;Y15,0,1))</f>
        <v>0</v>
      </c>
      <c r="Y15" s="632"/>
      <c r="Z15" s="113"/>
      <c r="AA15" s="137">
        <v>10</v>
      </c>
      <c r="AB15" s="332">
        <f t="shared" si="8"/>
        <v>0</v>
      </c>
      <c r="AC15" s="210" t="str">
        <f t="shared" si="0"/>
        <v/>
      </c>
      <c r="AD15" s="210" t="str">
        <f t="shared" si="1"/>
        <v/>
      </c>
      <c r="AE15" s="210" t="str">
        <f t="shared" si="2"/>
        <v/>
      </c>
      <c r="AF15" s="157" t="str">
        <f t="shared" si="3"/>
        <v/>
      </c>
      <c r="AG15" s="347">
        <f t="shared" si="4"/>
        <v>0</v>
      </c>
      <c r="AH15" s="299">
        <f t="shared" si="5"/>
        <v>1.0015500000000002</v>
      </c>
      <c r="AI15" s="194">
        <f>IF(AB15="","",SMALL(AH$6:AH$20,ROWS(AL$6:AL15)))</f>
        <v>1.0015500000000002</v>
      </c>
      <c r="AJ15" s="652">
        <f>IF(AI15="","",IF(AND(AL14=AL15),$AJ14,$AJ$6+9))</f>
        <v>1</v>
      </c>
      <c r="AK15" s="437">
        <f t="shared" si="6"/>
        <v>0</v>
      </c>
      <c r="AL15" s="438">
        <f t="shared" si="7"/>
        <v>0</v>
      </c>
      <c r="AN15" s="667" t="s">
        <v>64</v>
      </c>
      <c r="AO15" s="497">
        <v>2</v>
      </c>
      <c r="AP15" s="137" t="s">
        <v>251</v>
      </c>
      <c r="AQ15" s="266" t="s">
        <v>320</v>
      </c>
    </row>
    <row r="16" spans="1:43" ht="24.95" customHeight="1" thickBot="1">
      <c r="A16" s="94">
        <v>9</v>
      </c>
      <c r="B16" s="559"/>
      <c r="C16" s="560"/>
      <c r="D16" s="96"/>
      <c r="E16" s="44"/>
      <c r="F16" s="590" t="s">
        <v>2</v>
      </c>
      <c r="G16" s="475">
        <v>9</v>
      </c>
      <c r="H16" s="184" t="str">
        <f>IF(ISNA(MATCH(G16,$D$8:$D$21,0)),"",INDEX(B$8:$B$21,MATCH(G16,$D$8:$D$21,0)))</f>
        <v/>
      </c>
      <c r="I16" s="125">
        <f>IF(J16=J17,0,IF(J16&lt;J17,2,4))</f>
        <v>0</v>
      </c>
      <c r="J16" s="656"/>
      <c r="K16" s="44"/>
      <c r="L16" s="522" t="s">
        <v>2</v>
      </c>
      <c r="M16" s="528" t="str">
        <f>IF(J8=J9,"Perdant du 1",IF(J8&lt;J9,H8,H9))</f>
        <v>Perdant du 1</v>
      </c>
      <c r="N16" s="133">
        <f>IF(O16=O17,0,IF(O16&lt;O17,0,1))</f>
        <v>0</v>
      </c>
      <c r="O16" s="631"/>
      <c r="P16" s="44"/>
      <c r="Q16" s="524">
        <v>3</v>
      </c>
      <c r="R16" s="520" t="str">
        <f>IF(O22=O23,"Gagnant du 6",IF(O22&gt;O23,M22,M23))</f>
        <v>Perdant du 7</v>
      </c>
      <c r="S16" s="156">
        <f>IF(T15=T16,0,IF(T15&gt;T16,0,1))</f>
        <v>0</v>
      </c>
      <c r="T16" s="632"/>
      <c r="U16" s="44"/>
      <c r="V16" s="44"/>
      <c r="W16" s="131"/>
      <c r="X16" s="131"/>
      <c r="Y16" s="44"/>
      <c r="Z16" s="113"/>
      <c r="AA16" s="137">
        <v>11</v>
      </c>
      <c r="AB16" s="332">
        <f t="shared" si="8"/>
        <v>0</v>
      </c>
      <c r="AC16" s="210" t="str">
        <f t="shared" si="0"/>
        <v/>
      </c>
      <c r="AD16" s="210" t="str">
        <f t="shared" si="1"/>
        <v/>
      </c>
      <c r="AE16" s="210" t="str">
        <f t="shared" si="2"/>
        <v/>
      </c>
      <c r="AF16" s="157" t="str">
        <f t="shared" si="3"/>
        <v/>
      </c>
      <c r="AG16" s="347">
        <f t="shared" si="4"/>
        <v>0</v>
      </c>
      <c r="AH16" s="299">
        <f t="shared" si="5"/>
        <v>1.00156</v>
      </c>
      <c r="AI16" s="194">
        <f>IF(AB16="","",SMALL(AH$6:AH$20,ROWS(AL$6:AL16)))</f>
        <v>1.00156</v>
      </c>
      <c r="AJ16" s="652">
        <f>IF(AI16="","",IF(AND(AL15=AL16),$AJ15,$AJ$6+10))</f>
        <v>1</v>
      </c>
      <c r="AK16" s="437">
        <f t="shared" si="6"/>
        <v>0</v>
      </c>
      <c r="AL16" s="438">
        <f t="shared" si="7"/>
        <v>0</v>
      </c>
      <c r="AN16" s="666" t="s">
        <v>64</v>
      </c>
      <c r="AO16" s="497">
        <v>2</v>
      </c>
      <c r="AP16" s="734" t="s">
        <v>251</v>
      </c>
      <c r="AQ16" s="738" t="s">
        <v>320</v>
      </c>
    </row>
    <row r="17" spans="1:43" ht="24.95" customHeight="1" thickBot="1">
      <c r="A17" s="94">
        <v>10</v>
      </c>
      <c r="B17" s="557"/>
      <c r="C17" s="558"/>
      <c r="D17" s="96"/>
      <c r="E17" s="44"/>
      <c r="F17" s="591">
        <v>5</v>
      </c>
      <c r="G17" s="476">
        <v>10</v>
      </c>
      <c r="H17" s="185" t="str">
        <f>IF(ISNA(MATCH(G17,$D$8:$D$21,0)),"",INDEX(B$8:$B$21,MATCH(G17,$D$8:$D$21,0)))</f>
        <v/>
      </c>
      <c r="I17" s="129">
        <f>IF(J16=J17,0,IF(J16&gt;J17,2,4))</f>
        <v>0</v>
      </c>
      <c r="J17" s="657"/>
      <c r="K17" s="44"/>
      <c r="L17" s="524">
        <v>8</v>
      </c>
      <c r="M17" s="627" t="str">
        <f>IF(J10=J11,"Perdant du 2",IF(J10&lt;J11,H10,H11))</f>
        <v>Perdant du 2</v>
      </c>
      <c r="N17" s="129">
        <f>IF(O16=O17,0,IF(O16&gt;O17,0,1))</f>
        <v>0</v>
      </c>
      <c r="O17" s="632"/>
      <c r="P17" s="44"/>
      <c r="Q17" s="44"/>
      <c r="R17" s="131"/>
      <c r="S17" s="131"/>
      <c r="T17" s="44"/>
      <c r="U17" s="44"/>
      <c r="V17" s="44"/>
      <c r="W17" s="131"/>
      <c r="X17" s="131"/>
      <c r="Y17" s="44"/>
      <c r="Z17" s="113"/>
      <c r="AA17" s="137">
        <v>12</v>
      </c>
      <c r="AB17" s="332">
        <f t="shared" si="8"/>
        <v>0</v>
      </c>
      <c r="AC17" s="210" t="str">
        <f t="shared" si="0"/>
        <v/>
      </c>
      <c r="AD17" s="210" t="str">
        <f t="shared" si="1"/>
        <v/>
      </c>
      <c r="AE17" s="210" t="str">
        <f t="shared" si="2"/>
        <v/>
      </c>
      <c r="AF17" s="157" t="str">
        <f t="shared" si="3"/>
        <v/>
      </c>
      <c r="AG17" s="347">
        <f t="shared" si="4"/>
        <v>0</v>
      </c>
      <c r="AH17" s="299">
        <f t="shared" si="5"/>
        <v>1.0015700000000001</v>
      </c>
      <c r="AI17" s="194">
        <f>IF(AB17="","",SMALL(AH$6:AH$20,ROWS(AL$6:AL17)))</f>
        <v>1.0015700000000001</v>
      </c>
      <c r="AJ17" s="652">
        <f>IF(AI17="","",IF(AND(AL16=AL17),$AJ16,$AJ$6+11))</f>
        <v>1</v>
      </c>
      <c r="AK17" s="437">
        <f t="shared" si="6"/>
        <v>0</v>
      </c>
      <c r="AL17" s="438">
        <f t="shared" si="7"/>
        <v>0</v>
      </c>
      <c r="AN17" s="265" t="s">
        <v>116</v>
      </c>
      <c r="AO17" s="498">
        <v>2</v>
      </c>
      <c r="AP17" s="259" t="s">
        <v>246</v>
      </c>
      <c r="AQ17" s="136">
        <f t="shared" ref="AQ17:AQ19" si="9">SUM(AO17:AP17)</f>
        <v>2</v>
      </c>
    </row>
    <row r="18" spans="1:43" ht="24.95" customHeight="1" thickBot="1">
      <c r="A18" s="94">
        <v>11</v>
      </c>
      <c r="B18" s="559"/>
      <c r="C18" s="560"/>
      <c r="D18" s="96"/>
      <c r="E18" s="44"/>
      <c r="F18" s="590" t="s">
        <v>2</v>
      </c>
      <c r="G18" s="475">
        <v>11</v>
      </c>
      <c r="H18" s="184" t="str">
        <f>IF(ISNA(MATCH(G18,$D$8:$D$21,0)),"",INDEX(B$8:$B$21,MATCH(G18,$D$8:$D$21,0)))</f>
        <v/>
      </c>
      <c r="I18" s="125">
        <f>IF(J18=J19,0,IF(J18&lt;J19,2,4))</f>
        <v>0</v>
      </c>
      <c r="J18" s="658"/>
      <c r="K18" s="44"/>
      <c r="L18" s="536" t="s">
        <v>2</v>
      </c>
      <c r="M18" s="521" t="str">
        <f>IF(J12=J13,"Perdant du 3",IF(J12&lt;J13,H12,H13))</f>
        <v>Perdant du 3</v>
      </c>
      <c r="N18" s="133">
        <f>IF(O18=O19,0,IF(O18&lt;O19,0,1))</f>
        <v>0</v>
      </c>
      <c r="O18" s="635"/>
      <c r="P18" s="44"/>
      <c r="Q18" s="44"/>
      <c r="R18" s="167" t="s">
        <v>53</v>
      </c>
      <c r="S18" s="131"/>
      <c r="T18" s="44"/>
      <c r="U18" s="44"/>
      <c r="V18" s="44"/>
      <c r="W18" s="131"/>
      <c r="X18" s="131"/>
      <c r="Y18" s="44"/>
      <c r="Z18" s="113"/>
      <c r="AA18" s="137">
        <v>13</v>
      </c>
      <c r="AB18" s="332">
        <f t="shared" si="8"/>
        <v>0</v>
      </c>
      <c r="AC18" s="210" t="str">
        <f t="shared" si="0"/>
        <v/>
      </c>
      <c r="AD18" s="210" t="str">
        <f t="shared" si="1"/>
        <v/>
      </c>
      <c r="AE18" s="210" t="str">
        <f t="shared" si="2"/>
        <v/>
      </c>
      <c r="AF18" s="157" t="str">
        <f t="shared" si="3"/>
        <v/>
      </c>
      <c r="AG18" s="347">
        <f t="shared" si="4"/>
        <v>0</v>
      </c>
      <c r="AH18" s="299">
        <f t="shared" si="5"/>
        <v>1.0015800000000001</v>
      </c>
      <c r="AI18" s="194">
        <f>IF(AB18="","",SMALL(AH$6:AH$20,ROWS(AL$6:AL18)))</f>
        <v>1.0015800000000001</v>
      </c>
      <c r="AJ18" s="652">
        <f>IF(AI18="","",IF(AND(AL17=AL18),$AJ17,$AJ$6+12))</f>
        <v>1</v>
      </c>
      <c r="AK18" s="437">
        <f t="shared" si="6"/>
        <v>0</v>
      </c>
      <c r="AL18" s="438">
        <f t="shared" si="7"/>
        <v>0</v>
      </c>
      <c r="AN18" s="265" t="s">
        <v>116</v>
      </c>
      <c r="AO18" s="499">
        <v>2</v>
      </c>
      <c r="AP18" s="243" t="s">
        <v>246</v>
      </c>
      <c r="AQ18" s="137">
        <f t="shared" si="9"/>
        <v>2</v>
      </c>
    </row>
    <row r="19" spans="1:43" ht="24.95" customHeight="1" thickBot="1">
      <c r="A19" s="94">
        <v>12</v>
      </c>
      <c r="B19" s="557"/>
      <c r="C19" s="558"/>
      <c r="D19" s="96"/>
      <c r="E19" s="44"/>
      <c r="F19" s="591">
        <v>6</v>
      </c>
      <c r="G19" s="476">
        <v>12</v>
      </c>
      <c r="H19" s="185" t="str">
        <f>IF(ISNA(MATCH(G19,$D$8:$D$21,0)),"",INDEX(B$8:$B$21,MATCH(G19,$D$8:$D$21,0)))</f>
        <v/>
      </c>
      <c r="I19" s="129">
        <f>IF(J18=J19,0,IF(J18&gt;J19,2,4))</f>
        <v>0</v>
      </c>
      <c r="J19" s="659"/>
      <c r="K19" s="44"/>
      <c r="L19" s="526">
        <v>2</v>
      </c>
      <c r="M19" s="527" t="str">
        <f>IF(J14=J15,"Perdant du 4",IF(J14&lt;J15,H14,H15))</f>
        <v>Perdant du 4</v>
      </c>
      <c r="N19" s="129">
        <f>IF(O18=O19,0,IF(O18&gt;O19,0,1))</f>
        <v>0</v>
      </c>
      <c r="O19" s="634"/>
      <c r="P19" s="44"/>
      <c r="Q19" s="483" t="s">
        <v>2</v>
      </c>
      <c r="R19" s="164" t="s">
        <v>105</v>
      </c>
      <c r="S19" s="152">
        <v>0</v>
      </c>
      <c r="T19" s="121"/>
      <c r="U19" s="44"/>
      <c r="V19" s="44"/>
      <c r="W19" s="131" t="s">
        <v>11</v>
      </c>
      <c r="X19" s="131"/>
      <c r="Y19" s="44"/>
      <c r="Z19" s="61"/>
      <c r="AA19" s="138">
        <v>14</v>
      </c>
      <c r="AB19" s="333">
        <f t="shared" si="8"/>
        <v>0</v>
      </c>
      <c r="AC19" s="236" t="str">
        <f t="shared" si="0"/>
        <v/>
      </c>
      <c r="AD19" s="236" t="str">
        <f t="shared" si="1"/>
        <v/>
      </c>
      <c r="AE19" s="236" t="str">
        <f t="shared" si="2"/>
        <v/>
      </c>
      <c r="AF19" s="158" t="str">
        <f>IF(ISNA(VLOOKUP(AB19,$W$8:$X$22,2,0)),"",VLOOKUP(AB19,$W$8:$X$22,2,0))</f>
        <v/>
      </c>
      <c r="AG19" s="348">
        <f t="shared" si="4"/>
        <v>0</v>
      </c>
      <c r="AH19" s="299">
        <f t="shared" si="5"/>
        <v>1.00159</v>
      </c>
      <c r="AI19" s="194">
        <f>IF(AB19="","",SMALL(AH$6:AH$20,ROWS(AL$6:AL19)))</f>
        <v>1.00159</v>
      </c>
      <c r="AJ19" s="653">
        <f>IF(AI19="","",IF(AND(AL18=AL19),$AJ18,$AJ$6+13))</f>
        <v>1</v>
      </c>
      <c r="AK19" s="447">
        <f t="shared" si="6"/>
        <v>0</v>
      </c>
      <c r="AL19" s="448">
        <f t="shared" si="7"/>
        <v>0</v>
      </c>
      <c r="AN19" s="257" t="s">
        <v>116</v>
      </c>
      <c r="AO19" s="500">
        <v>2</v>
      </c>
      <c r="AP19" s="247" t="s">
        <v>246</v>
      </c>
      <c r="AQ19" s="138">
        <f t="shared" si="9"/>
        <v>2</v>
      </c>
    </row>
    <row r="20" spans="1:43" ht="24.95" customHeight="1" thickBot="1">
      <c r="A20" s="94">
        <v>13</v>
      </c>
      <c r="B20" s="559"/>
      <c r="C20" s="560"/>
      <c r="D20" s="96"/>
      <c r="E20" s="44"/>
      <c r="F20" s="590" t="s">
        <v>2</v>
      </c>
      <c r="G20" s="475">
        <v>13</v>
      </c>
      <c r="H20" s="184" t="str">
        <f>IF(ISNA(MATCH(G20,$D$8:$D$21,0)),"",INDEX(B$8:$B$21,MATCH(G20,$D$8:$D$21,0)))</f>
        <v/>
      </c>
      <c r="I20" s="125">
        <f>IF(J20=J21,0,IF(J20&lt;J21,2,4))</f>
        <v>0</v>
      </c>
      <c r="J20" s="656"/>
      <c r="K20" s="44"/>
      <c r="L20" s="522" t="s">
        <v>2</v>
      </c>
      <c r="M20" s="528" t="str">
        <f>IF(J16=J17,"Perdant du 5",IF(J16&lt;J17,H16,H17))</f>
        <v>Perdant du 5</v>
      </c>
      <c r="N20" s="133">
        <f>IF(O20=O21,0,IF(O20&lt;O21,0,1))</f>
        <v>0</v>
      </c>
      <c r="O20" s="631"/>
      <c r="P20" s="44"/>
      <c r="Q20" s="282">
        <v>4</v>
      </c>
      <c r="R20" s="627" t="str">
        <f>IF(O6=O7,"Perdant du 3",IF(O6&lt;O7,M6,M7))</f>
        <v>Perdant du 3</v>
      </c>
      <c r="S20" s="153">
        <v>0.5</v>
      </c>
      <c r="T20" s="752">
        <v>1</v>
      </c>
      <c r="U20" s="44"/>
      <c r="V20" s="483" t="s">
        <v>2</v>
      </c>
      <c r="W20" s="535" t="str">
        <f>IF(T19=T20,"Gagnant du 4",IF(T19&gt;T20,R19,R20))</f>
        <v>Perdant du 3</v>
      </c>
      <c r="X20" s="171">
        <f>IF(Y20=Y21,0,IF(Y20&lt;Y21,0,1))</f>
        <v>0</v>
      </c>
      <c r="Y20" s="511"/>
      <c r="Z20" s="61"/>
      <c r="AC20" s="161">
        <f>SUM(AC6:AC19)</f>
        <v>0</v>
      </c>
      <c r="AD20" s="161">
        <f>SUM(AD6:AD19)</f>
        <v>0</v>
      </c>
      <c r="AE20" s="161">
        <f>SUM(AE6:AE19)</f>
        <v>0</v>
      </c>
      <c r="AF20" s="161">
        <f>SUM(AF6:AF19)</f>
        <v>0</v>
      </c>
      <c r="AG20" s="161">
        <f>SUM(AG6:AG19)</f>
        <v>0</v>
      </c>
    </row>
    <row r="21" spans="1:43" ht="24.95" customHeight="1" thickBot="1">
      <c r="A21" s="110">
        <v>14</v>
      </c>
      <c r="B21" s="592"/>
      <c r="C21" s="588"/>
      <c r="D21" s="111"/>
      <c r="E21" s="44"/>
      <c r="F21" s="591">
        <v>7</v>
      </c>
      <c r="G21" s="476">
        <v>14</v>
      </c>
      <c r="H21" s="185" t="str">
        <f>IF(ISNA(MATCH(G21,$D$8:$D$21,0)),"",INDEX(B$8:$B$21,MATCH(G21,$D$8:$D$21,0)))</f>
        <v/>
      </c>
      <c r="I21" s="129">
        <f>IF(J20=J21,0,IF(J20&gt;J21,2,4))</f>
        <v>0</v>
      </c>
      <c r="J21" s="657"/>
      <c r="K21" s="44"/>
      <c r="L21" s="524">
        <v>4</v>
      </c>
      <c r="M21" s="627" t="str">
        <f>IF(J18=J19,"Perdant du 6",IF(J18&lt;J19,H18,H19))</f>
        <v>Perdant du 6</v>
      </c>
      <c r="N21" s="129">
        <f>IF(O20=O21,0,IF(O20&gt;O21,0,1))</f>
        <v>0</v>
      </c>
      <c r="O21" s="632"/>
      <c r="P21" s="44"/>
      <c r="Q21" s="483" t="s">
        <v>2</v>
      </c>
      <c r="R21" s="528" t="str">
        <f>IF(O8=O9,"Perdant du 5",IF(O8&lt;O9,M8,M9))</f>
        <v>Perdant du 5</v>
      </c>
      <c r="S21" s="171">
        <f>IF(T21=T22,0,IF(T21&lt;T22,0,1))</f>
        <v>0</v>
      </c>
      <c r="T21" s="511"/>
      <c r="U21" s="44"/>
      <c r="V21" s="484">
        <v>6</v>
      </c>
      <c r="W21" s="520" t="str">
        <f>IF(T21=T22,"Gagnant du 8",IF(T21&gt;T22,R21,R22))</f>
        <v>Gagnant du 8</v>
      </c>
      <c r="X21" s="156">
        <f>IF(Y20=Y21,0,IF(Y20&gt;Y21,0,1))</f>
        <v>0</v>
      </c>
      <c r="Y21" s="512"/>
      <c r="Z21" s="113"/>
      <c r="AN21" s="61"/>
    </row>
    <row r="22" spans="1:43" ht="24.75" customHeight="1" thickBot="1">
      <c r="E22" s="44"/>
      <c r="K22" s="44"/>
      <c r="L22" s="522" t="s">
        <v>2</v>
      </c>
      <c r="M22" s="528" t="str">
        <f>IF(J20=J21,"Perdant du 7",IF(J20&lt;J21,H20,H21))</f>
        <v>Perdant du 7</v>
      </c>
      <c r="N22" s="123">
        <v>0.5</v>
      </c>
      <c r="O22" s="121">
        <v>1</v>
      </c>
      <c r="P22" s="44"/>
      <c r="Q22" s="484">
        <v>8</v>
      </c>
      <c r="R22" s="520" t="str">
        <f>IF(O10=O11,"Perdant du 7",IF(O10&lt;O11,M10,M11))</f>
        <v>Perdant du 7</v>
      </c>
      <c r="S22" s="156">
        <f>IF(T21=T22,0,IF(T21&gt;T22,0,1))</f>
        <v>0</v>
      </c>
      <c r="T22" s="512"/>
      <c r="U22" s="44"/>
      <c r="V22" s="44"/>
      <c r="W22" s="44"/>
      <c r="X22" s="44"/>
      <c r="Y22" s="44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3" spans="1:43" ht="24" customHeight="1" thickBot="1">
      <c r="B23" s="44"/>
      <c r="C23" s="44"/>
      <c r="D23" s="44"/>
      <c r="E23" s="44"/>
      <c r="F23" s="44"/>
      <c r="K23" s="44"/>
      <c r="L23" s="282">
        <v>6</v>
      </c>
      <c r="M23" s="118" t="s">
        <v>105</v>
      </c>
      <c r="N23" s="124">
        <v>0</v>
      </c>
      <c r="O23" s="122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</row>
    <row r="24" spans="1:43" ht="18.75">
      <c r="A24" s="44"/>
      <c r="B24" s="421" t="s">
        <v>125</v>
      </c>
      <c r="C24" s="44"/>
      <c r="E24" s="44"/>
      <c r="F24" s="47"/>
      <c r="G24" s="44"/>
      <c r="H24" s="260" t="s">
        <v>232</v>
      </c>
      <c r="I24" s="44"/>
      <c r="J24" s="44"/>
      <c r="K24" s="44"/>
      <c r="L24" s="44"/>
      <c r="M24" s="44"/>
      <c r="N24" s="113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</row>
    <row r="25" spans="1:43" ht="19.5" thickBot="1">
      <c r="A25" s="44"/>
      <c r="B25" s="648" t="s">
        <v>45</v>
      </c>
      <c r="C25" s="44"/>
      <c r="D25" s="44"/>
      <c r="E25" s="44"/>
      <c r="F25" s="47"/>
      <c r="G25" s="47"/>
      <c r="H25" s="47"/>
      <c r="I25" s="44"/>
      <c r="J25" s="47"/>
      <c r="K25" s="44"/>
      <c r="L25" s="44"/>
      <c r="M25" s="44"/>
      <c r="N25" s="113"/>
      <c r="O25" s="44"/>
      <c r="P25" s="44"/>
      <c r="Q25" s="44"/>
      <c r="R25" s="44"/>
      <c r="S25" s="44"/>
      <c r="T25" s="44"/>
      <c r="U25" s="44"/>
      <c r="X25" s="44"/>
      <c r="Y25" s="44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</row>
    <row r="26" spans="1:43" ht="19.5" thickBot="1">
      <c r="A26" s="44"/>
      <c r="C26" s="44"/>
      <c r="D26" s="44"/>
      <c r="E26" s="44"/>
      <c r="F26" s="44"/>
      <c r="G26" s="47"/>
      <c r="H26" s="274"/>
      <c r="I26" s="135">
        <f>SUM(I8:I21)</f>
        <v>0</v>
      </c>
      <c r="J26" s="135"/>
      <c r="K26" s="252"/>
      <c r="L26" s="192"/>
      <c r="M26" s="135"/>
      <c r="N26" s="131">
        <f>SUM(N6:N23)</f>
        <v>1.5</v>
      </c>
      <c r="O26" s="135"/>
      <c r="P26" s="192"/>
      <c r="Q26" s="135"/>
      <c r="R26" s="135"/>
      <c r="S26" s="135">
        <f>SUM(S7:S22)</f>
        <v>0.5</v>
      </c>
      <c r="T26" s="135"/>
      <c r="U26" s="192"/>
      <c r="V26" s="135"/>
      <c r="W26" s="135"/>
      <c r="X26" s="135">
        <f>SUM(X8:X21)</f>
        <v>0</v>
      </c>
      <c r="Y26" s="135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272">
        <f>SUM(I26:Z26)</f>
        <v>2</v>
      </c>
      <c r="AL26" s="272">
        <f>SUM(AL6:AL19)</f>
        <v>0</v>
      </c>
    </row>
    <row r="27" spans="1:43" ht="18.75">
      <c r="A27" s="44"/>
      <c r="B27" s="44"/>
      <c r="C27" s="44"/>
      <c r="G27" s="44"/>
      <c r="H27" s="44"/>
      <c r="J27" s="44"/>
    </row>
    <row r="28" spans="1:43" ht="18.75">
      <c r="I28" s="44">
        <v>42</v>
      </c>
      <c r="J28" s="44"/>
      <c r="K28" s="44"/>
      <c r="L28" s="44"/>
      <c r="M28" s="44"/>
      <c r="N28" s="44">
        <v>10.5</v>
      </c>
      <c r="O28" s="44"/>
      <c r="P28" s="44"/>
      <c r="Q28" s="44"/>
      <c r="R28" s="44"/>
      <c r="S28" s="44">
        <v>7.5</v>
      </c>
      <c r="T28" s="44"/>
      <c r="U28" s="44"/>
      <c r="V28" s="44"/>
      <c r="W28" s="44"/>
      <c r="X28" s="44">
        <v>4</v>
      </c>
    </row>
    <row r="30" spans="1:43" ht="15.75">
      <c r="H30" s="41"/>
    </row>
    <row r="31" spans="1:43" ht="18.75">
      <c r="E31" s="44"/>
      <c r="F31" s="41"/>
      <c r="G31" s="41"/>
    </row>
    <row r="35" spans="2:7" ht="18.75">
      <c r="B35" s="44"/>
      <c r="C35" s="44" t="s">
        <v>41</v>
      </c>
      <c r="D35" s="44"/>
    </row>
    <row r="36" spans="2:7" ht="18.75">
      <c r="B36" s="144" t="s">
        <v>42</v>
      </c>
      <c r="C36" s="214" t="s">
        <v>101</v>
      </c>
      <c r="D36" s="44"/>
      <c r="F36" s="41"/>
      <c r="G36" s="41"/>
    </row>
    <row r="37" spans="2:7" ht="18.75">
      <c r="B37" s="145" t="s">
        <v>43</v>
      </c>
      <c r="C37" s="214" t="s">
        <v>102</v>
      </c>
      <c r="D37" s="41"/>
      <c r="F37" s="41"/>
      <c r="G37" s="41"/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4:AL4"/>
    <mergeCell ref="AO4:AQ4"/>
  </mergeCells>
  <conditionalFormatting sqref="AJ6:AJ19">
    <cfRule type="duplicateValues" dxfId="8" priority="1"/>
  </conditionalFormatting>
  <pageMargins left="0.15" right="0.15" top="0.12" bottom="0.3" header="0.08" footer="0.25"/>
  <pageSetup orientation="landscape" horizontalDpi="4294967292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00"/>
  </sheetPr>
  <dimension ref="A1:AQ38"/>
  <sheetViews>
    <sheetView zoomScale="60" zoomScaleNormal="60" workbookViewId="0">
      <selection activeCell="R32" sqref="R32"/>
    </sheetView>
  </sheetViews>
  <sheetFormatPr baseColWidth="10" defaultRowHeight="15"/>
  <cols>
    <col min="1" max="1" width="5.85546875" style="161" customWidth="1"/>
    <col min="2" max="2" width="30.42578125" style="161" customWidth="1"/>
    <col min="3" max="3" width="24.85546875" style="161" customWidth="1"/>
    <col min="4" max="4" width="12" style="161" customWidth="1"/>
    <col min="5" max="5" width="5.7109375" style="161" customWidth="1"/>
    <col min="6" max="6" width="8" style="161" customWidth="1"/>
    <col min="7" max="7" width="7.140625" style="161" hidden="1" customWidth="1"/>
    <col min="8" max="8" width="27.42578125" style="161" customWidth="1"/>
    <col min="9" max="9" width="6.140625" style="161" hidden="1" customWidth="1"/>
    <col min="10" max="10" width="7.42578125" style="161" customWidth="1"/>
    <col min="11" max="11" width="5" style="161" customWidth="1"/>
    <col min="12" max="12" width="9.42578125" style="161" customWidth="1"/>
    <col min="13" max="13" width="28.140625" style="161" customWidth="1"/>
    <col min="14" max="14" width="8.140625" style="161" hidden="1" customWidth="1"/>
    <col min="15" max="15" width="9" style="161" customWidth="1"/>
    <col min="16" max="16" width="3.7109375" style="161" customWidth="1"/>
    <col min="17" max="17" width="10.140625" style="161" customWidth="1"/>
    <col min="18" max="18" width="26.5703125" style="161" customWidth="1"/>
    <col min="19" max="19" width="8.28515625" style="161" hidden="1" customWidth="1"/>
    <col min="20" max="20" width="9.28515625" style="161" customWidth="1"/>
    <col min="21" max="21" width="4.140625" style="161" customWidth="1"/>
    <col min="22" max="22" width="8.85546875" style="161" customWidth="1"/>
    <col min="23" max="23" width="26.7109375" style="161" customWidth="1"/>
    <col min="24" max="24" width="7.85546875" style="161" hidden="1" customWidth="1"/>
    <col min="25" max="25" width="9.140625" style="161" customWidth="1"/>
    <col min="26" max="26" width="5.28515625" style="161" customWidth="1"/>
    <col min="27" max="27" width="7.5703125" style="161" hidden="1" customWidth="1"/>
    <col min="28" max="28" width="15.140625" style="161" hidden="1" customWidth="1"/>
    <col min="29" max="29" width="9.42578125" style="161" hidden="1" customWidth="1"/>
    <col min="30" max="30" width="8.42578125" style="161" hidden="1" customWidth="1"/>
    <col min="31" max="31" width="9.7109375" style="161" hidden="1" customWidth="1"/>
    <col min="32" max="32" width="8.28515625" style="161" hidden="1" customWidth="1"/>
    <col min="33" max="33" width="15.42578125" style="161" hidden="1" customWidth="1"/>
    <col min="34" max="34" width="27.140625" style="161" hidden="1" customWidth="1"/>
    <col min="35" max="35" width="19.140625" style="161" hidden="1" customWidth="1"/>
    <col min="36" max="36" width="11.5703125" style="161" customWidth="1"/>
    <col min="37" max="37" width="34.140625" style="161" customWidth="1"/>
    <col min="38" max="38" width="14.85546875" style="161" customWidth="1"/>
    <col min="39" max="39" width="7.42578125" style="161" customWidth="1"/>
    <col min="40" max="40" width="20.140625" style="161" customWidth="1"/>
    <col min="41" max="41" width="12" style="161" customWidth="1"/>
    <col min="42" max="42" width="39.85546875" style="161" customWidth="1"/>
    <col min="43" max="43" width="10.85546875" style="161" customWidth="1"/>
    <col min="44" max="44" width="14.28515625" style="161" customWidth="1"/>
    <col min="45" max="16384" width="11.42578125" style="161"/>
  </cols>
  <sheetData>
    <row r="1" spans="1:43" s="415" customFormat="1" ht="36.75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 t="s">
        <v>138</v>
      </c>
      <c r="R1" s="412"/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</row>
    <row r="2" spans="1:43" ht="26.1" customHeight="1" thickBot="1">
      <c r="A2" s="44"/>
      <c r="B2" s="357" t="s">
        <v>112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R2" s="44"/>
      <c r="S2" s="44"/>
      <c r="T2" s="44"/>
      <c r="U2" s="44"/>
      <c r="V2" s="113"/>
      <c r="W2" s="113"/>
      <c r="X2" s="44"/>
      <c r="Y2" s="44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</row>
    <row r="3" spans="1:43" ht="26.1" customHeight="1" thickBot="1">
      <c r="A3" s="44"/>
      <c r="B3" s="44"/>
      <c r="C3" s="44"/>
      <c r="D3" s="44"/>
      <c r="E3" s="44"/>
      <c r="F3" s="44"/>
      <c r="G3" s="44"/>
      <c r="H3" s="44"/>
      <c r="I3" s="44"/>
      <c r="J3" s="47"/>
      <c r="K3" s="47"/>
      <c r="L3" s="47"/>
      <c r="M3" s="47"/>
      <c r="N3" s="61"/>
      <c r="O3" s="44"/>
      <c r="P3" s="44"/>
      <c r="Q3" s="44"/>
      <c r="R3" s="44"/>
      <c r="S3" s="44"/>
      <c r="T3" s="47"/>
      <c r="U3" s="47"/>
      <c r="V3" s="47"/>
      <c r="W3" s="47"/>
      <c r="X3" s="47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</row>
    <row r="4" spans="1:43" ht="26.1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766" t="s">
        <v>240</v>
      </c>
      <c r="AC4" s="775"/>
      <c r="AD4" s="775"/>
      <c r="AE4" s="775"/>
      <c r="AF4" s="775"/>
      <c r="AG4" s="767"/>
      <c r="AH4" s="113"/>
      <c r="AI4" s="61"/>
      <c r="AJ4" s="61"/>
      <c r="AK4" s="766" t="s">
        <v>129</v>
      </c>
      <c r="AL4" s="767"/>
      <c r="AN4" s="30"/>
      <c r="AO4" s="772" t="s">
        <v>113</v>
      </c>
      <c r="AP4" s="773"/>
      <c r="AQ4" s="774"/>
    </row>
    <row r="5" spans="1:43" ht="26.1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405" t="s">
        <v>108</v>
      </c>
      <c r="J5" s="44" t="s">
        <v>107</v>
      </c>
      <c r="K5" s="44"/>
      <c r="L5" s="44"/>
      <c r="M5" s="44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405" t="s">
        <v>108</v>
      </c>
      <c r="T5" s="44" t="s">
        <v>107</v>
      </c>
      <c r="U5" s="44"/>
      <c r="V5" s="44"/>
      <c r="W5" s="44"/>
      <c r="X5" s="44"/>
      <c r="Y5" s="44"/>
      <c r="Z5" s="113"/>
      <c r="AA5" s="113"/>
      <c r="AB5" s="151" t="s">
        <v>111</v>
      </c>
      <c r="AC5" s="304" t="s">
        <v>189</v>
      </c>
      <c r="AD5" s="304" t="s">
        <v>190</v>
      </c>
      <c r="AE5" s="304" t="s">
        <v>191</v>
      </c>
      <c r="AF5" s="151" t="s">
        <v>227</v>
      </c>
      <c r="AG5" s="151" t="s">
        <v>193</v>
      </c>
      <c r="AH5" s="295" t="s">
        <v>109</v>
      </c>
      <c r="AI5" s="305" t="s">
        <v>110</v>
      </c>
      <c r="AJ5" s="433" t="s">
        <v>238</v>
      </c>
      <c r="AK5" s="366" t="s">
        <v>111</v>
      </c>
      <c r="AL5" s="366" t="s">
        <v>192</v>
      </c>
      <c r="AM5" s="61"/>
      <c r="AN5" s="490" t="s">
        <v>12</v>
      </c>
      <c r="AO5" s="112" t="s">
        <v>56</v>
      </c>
      <c r="AP5" s="239" t="s">
        <v>241</v>
      </c>
      <c r="AQ5" s="239" t="s">
        <v>16</v>
      </c>
    </row>
    <row r="6" spans="1:43" ht="26.1" customHeight="1" thickBot="1">
      <c r="A6" s="87">
        <v>1</v>
      </c>
      <c r="B6" s="555"/>
      <c r="C6" s="556"/>
      <c r="D6" s="89"/>
      <c r="E6" s="44"/>
      <c r="F6" s="590" t="s">
        <v>2</v>
      </c>
      <c r="G6" s="568">
        <v>1</v>
      </c>
      <c r="H6" s="182" t="str">
        <f>IF(ISNA(MATCH(G6,$D$6:$D$21,0)),"",INDEX($B$6:$B$21,MATCH(G6,$D$6:$D$21,0)))</f>
        <v/>
      </c>
      <c r="I6" s="125">
        <f>IF(J6=J7,0,IF(J6&lt;J7,2,4))</f>
        <v>0</v>
      </c>
      <c r="J6" s="656"/>
      <c r="K6" s="44"/>
      <c r="L6" s="585" t="s">
        <v>2</v>
      </c>
      <c r="M6" s="519" t="str">
        <f>IF(J6=J7,"Gagnant du 1",IF(J6&gt;J7,H6,H7))</f>
        <v>Gagnant du 1</v>
      </c>
      <c r="N6" s="133">
        <f>IF(O6=O7,0,IF(O6&lt;O7,0,2))</f>
        <v>0</v>
      </c>
      <c r="O6" s="656"/>
      <c r="P6" s="44"/>
      <c r="Q6" s="585" t="s">
        <v>2</v>
      </c>
      <c r="R6" s="528" t="str">
        <f>IF(O6=O7,"Gagnant du 3",IF(O6&gt;O7,M6,M7))</f>
        <v>Gagnant du 3</v>
      </c>
      <c r="S6" s="133">
        <f>IF(T6=T7,0,IF(T6&lt;T7,0,2))</f>
        <v>0</v>
      </c>
      <c r="T6" s="656"/>
      <c r="U6" s="44"/>
      <c r="V6" s="44"/>
      <c r="W6" s="44" t="s">
        <v>9</v>
      </c>
      <c r="X6" s="405" t="s">
        <v>108</v>
      </c>
      <c r="Y6" s="44" t="s">
        <v>107</v>
      </c>
      <c r="Z6" s="113"/>
      <c r="AA6" s="136">
        <v>1</v>
      </c>
      <c r="AB6" s="307">
        <f>+B6</f>
        <v>0</v>
      </c>
      <c r="AC6" s="211" t="str">
        <f>IF(ISNA(VLOOKUP(AB6,$H$6:$I$21,2,0)),"",VLOOKUP(AB6,$H$6:$I$21,2,0))</f>
        <v/>
      </c>
      <c r="AD6" s="211" t="str">
        <f>IF(ISNA(VLOOKUP(AB6,$M$6:$N$22,2,0)),"",VLOOKUP(AB6,$M$6:$N$22,2,0))</f>
        <v/>
      </c>
      <c r="AE6" s="211" t="str">
        <f>IF(ISNA(VLOOKUP(AB6,$R$6:$S$22,3,0)),"",VLOOKUP(AB6,$R$6:$S$22,2,0))</f>
        <v/>
      </c>
      <c r="AF6" s="211" t="str">
        <f>IF(ISNA(VLOOKUP(AB6,$W$7:$X$20,2,0)),"",VLOOKUP(AB6,$W$7:$X$20,2,0))</f>
        <v/>
      </c>
      <c r="AG6" s="372">
        <f>SUM(AC6:AF6)</f>
        <v>0</v>
      </c>
      <c r="AH6" s="299">
        <f>IF(OR(AB6="",AG6=""),"",RANK(AG6,$AG$6:$AG$21)+COUNTIF(AB$6:AB$21,"&lt;="&amp;AB6+1)/10000+ROW()/100000)</f>
        <v>1.00156</v>
      </c>
      <c r="AI6" s="194">
        <f>IF(AB6="","",SMALL(AH$6:AH$21,ROWS(AL$6:AL6)))</f>
        <v>1.00021</v>
      </c>
      <c r="AJ6" s="651">
        <f>IF(AI6="","",1)</f>
        <v>1</v>
      </c>
      <c r="AK6" s="654" t="str">
        <f>IF(OR(AB6="",AG6=""),"",INDEX($AB$6:$AB$21,MATCH(AI6,$AH$6:$AH$21,0)))</f>
        <v>OFFICE</v>
      </c>
      <c r="AL6" s="737">
        <f>IF(AB6="","",INDEX($AG$6:$AG$21,MATCH(AI6,$AH$6:$AH$21,0)))</f>
        <v>0</v>
      </c>
      <c r="AM6" s="192"/>
      <c r="AN6" s="739" t="s">
        <v>115</v>
      </c>
      <c r="AO6" s="491">
        <v>2</v>
      </c>
      <c r="AP6" s="136" t="s">
        <v>242</v>
      </c>
      <c r="AQ6" s="256" t="s">
        <v>323</v>
      </c>
    </row>
    <row r="7" spans="1:43" ht="26.1" customHeight="1" thickBot="1">
      <c r="A7" s="94">
        <v>2</v>
      </c>
      <c r="B7" s="557"/>
      <c r="C7" s="558"/>
      <c r="D7" s="96"/>
      <c r="E7" s="44"/>
      <c r="F7" s="591">
        <v>1</v>
      </c>
      <c r="G7" s="569">
        <v>2</v>
      </c>
      <c r="H7" s="198" t="str">
        <f t="shared" ref="H7:H21" si="0">IF(ISNA(MATCH(G7,$D$6:$D$21,0)),"",INDEX($B$6:$B$21,MATCH(G7,$D$6:$D$21,0)))</f>
        <v/>
      </c>
      <c r="I7" s="129">
        <f>IF(J6=J7,0,IF(J6&gt;J7,2,4))</f>
        <v>0</v>
      </c>
      <c r="J7" s="657"/>
      <c r="K7" s="44"/>
      <c r="L7" s="589">
        <v>3</v>
      </c>
      <c r="M7" s="520" t="str">
        <f>IF(J8=J9,"Gagnant du 2",IF(J8&gt;J9,H8,H9))</f>
        <v>Gagnant du 2</v>
      </c>
      <c r="N7" s="129">
        <f>IF(O6=O7,0,IF(O6&gt;O7,0,2))</f>
        <v>0</v>
      </c>
      <c r="O7" s="657"/>
      <c r="P7" s="44"/>
      <c r="Q7" s="589">
        <v>6</v>
      </c>
      <c r="R7" s="521" t="str">
        <f>IF(O8=O9,"Gagnant du 5",IF(O8&gt;O9,M8,M9))</f>
        <v>Gagnant du 5</v>
      </c>
      <c r="S7" s="129">
        <f>IF(T6=T7,0,IF(T6&gt;T7,0,2))</f>
        <v>0</v>
      </c>
      <c r="T7" s="657"/>
      <c r="U7" s="44"/>
      <c r="V7" s="585" t="s">
        <v>2</v>
      </c>
      <c r="W7" s="528" t="str">
        <f>IF(T6=T7,"Gagnant du 6",IF(T6&gt;T7,R6,R7))</f>
        <v>Gagnant du 6</v>
      </c>
      <c r="X7" s="133">
        <f>IF(Y7=Y8,0,IF(Y7&lt;Y8,0,2))</f>
        <v>0</v>
      </c>
      <c r="Y7" s="656"/>
      <c r="Z7" s="61"/>
      <c r="AA7" s="137">
        <v>2</v>
      </c>
      <c r="AB7" s="332">
        <f>+B7</f>
        <v>0</v>
      </c>
      <c r="AC7" s="210" t="str">
        <f t="shared" ref="AC7:AC21" si="1">IF(ISNA(VLOOKUP(AB7,$H$6:$I$21,2,0)),"",VLOOKUP(AB7,$H$6:$I$21,2,0))</f>
        <v/>
      </c>
      <c r="AD7" s="210" t="str">
        <f t="shared" ref="AD7:AD21" si="2">IF(ISNA(VLOOKUP(AB7,$M$6:$N$22,2,0)),"",VLOOKUP(AB7,$M$6:$N$22,2,0))</f>
        <v/>
      </c>
      <c r="AE7" s="210" t="str">
        <f t="shared" ref="AE7:AE21" si="3">IF(ISNA(VLOOKUP(AB7,$R$6:$S$22,3,0)),"",VLOOKUP(AB7,$R$6:$S$22,2,0))</f>
        <v/>
      </c>
      <c r="AF7" s="210" t="str">
        <f t="shared" ref="AF7:AF21" si="4">IF(ISNA(VLOOKUP(AB7,$W$7:$X$20,2,0)),"",VLOOKUP(AB7,$W$7:$X$20,2,0))</f>
        <v/>
      </c>
      <c r="AG7" s="373">
        <f t="shared" ref="AG7:AG21" si="5">SUM(AC7:AF7)</f>
        <v>0</v>
      </c>
      <c r="AH7" s="299">
        <f t="shared" ref="AH7:AH21" si="6">IF(OR(AB7="",AG7=""),"",RANK(AG7,$AG$6:$AG$21)+COUNTIF(AB$6:AB$21,"&lt;="&amp;AB7+1)/10000+ROW()/100000)</f>
        <v>1.0015700000000001</v>
      </c>
      <c r="AI7" s="194">
        <f>IF(AB7="","",SMALL(AH$6:AH$21,ROWS(AL$6:AL7)))</f>
        <v>1.00156</v>
      </c>
      <c r="AJ7" s="652">
        <f>IF(AI7="","",IF(AND(AL6=AL7),$AJ6,$AJ$6+1))</f>
        <v>1</v>
      </c>
      <c r="AK7" s="437">
        <f t="shared" ref="AK7:AK21" si="7">IF(OR(AB7="",AG7=""),"",INDEX($AB$6:$AB$21,MATCH(AI7,$AH$6:$AH$21,0)))</f>
        <v>0</v>
      </c>
      <c r="AL7" s="438">
        <f t="shared" ref="AL7:AL21" si="8">IF(AB7="","",INDEX($AG$6:$AG$21,MATCH(AI7,$AH$6:$AH$21,0)))</f>
        <v>0</v>
      </c>
      <c r="AM7" s="192"/>
      <c r="AN7" s="740" t="s">
        <v>15</v>
      </c>
      <c r="AO7" s="492">
        <v>2</v>
      </c>
      <c r="AP7" s="137" t="s">
        <v>243</v>
      </c>
      <c r="AQ7" s="266" t="s">
        <v>311</v>
      </c>
    </row>
    <row r="8" spans="1:43" ht="26.1" customHeight="1" thickBot="1">
      <c r="A8" s="94">
        <v>3</v>
      </c>
      <c r="B8" s="559"/>
      <c r="C8" s="560"/>
      <c r="D8" s="96"/>
      <c r="E8" s="44"/>
      <c r="F8" s="590" t="s">
        <v>2</v>
      </c>
      <c r="G8" s="568">
        <v>3</v>
      </c>
      <c r="H8" s="202" t="str">
        <f t="shared" si="0"/>
        <v/>
      </c>
      <c r="I8" s="125">
        <f>IF(J8=J9,0,IF(J8&lt;J9,2,4))</f>
        <v>0</v>
      </c>
      <c r="J8" s="658"/>
      <c r="K8" s="47"/>
      <c r="L8" s="585" t="s">
        <v>2</v>
      </c>
      <c r="M8" s="521" t="str">
        <f>IF(J10=J11,"Gagnant du 3",IF(J10&gt;J11,H10,H11))</f>
        <v>Gagnant du 3</v>
      </c>
      <c r="N8" s="133">
        <f>IF(O8=O9,0,IF(O8&lt;O9,0,2))</f>
        <v>0</v>
      </c>
      <c r="O8" s="656"/>
      <c r="P8" s="47"/>
      <c r="Q8" s="585" t="s">
        <v>2</v>
      </c>
      <c r="R8" s="528" t="str">
        <f>IF(O12=O13,"Gagnant du 1",IF(O12&gt;O13,M12,M13))</f>
        <v>Gagnant du 1</v>
      </c>
      <c r="S8" s="133">
        <f>IF(T8=T9,0,IF(T8&lt;T9,0,2))</f>
        <v>0</v>
      </c>
      <c r="T8" s="656"/>
      <c r="U8" s="47"/>
      <c r="V8" s="589">
        <v>4</v>
      </c>
      <c r="W8" s="520" t="str">
        <f>IF(T8=T9,"Gagnant du 2",IF(T8&gt;T9,R8,R9))</f>
        <v>Gagnant du 2</v>
      </c>
      <c r="X8" s="129">
        <f>IF(Y7=Y8,0,IF(Y7&gt;Y8,0,2))</f>
        <v>0</v>
      </c>
      <c r="Y8" s="657"/>
      <c r="Z8" s="61"/>
      <c r="AA8" s="137">
        <v>3</v>
      </c>
      <c r="AB8" s="332">
        <f t="shared" ref="AB8:AB21" si="9">+B8</f>
        <v>0</v>
      </c>
      <c r="AC8" s="210" t="str">
        <f t="shared" si="1"/>
        <v/>
      </c>
      <c r="AD8" s="210" t="str">
        <f t="shared" si="2"/>
        <v/>
      </c>
      <c r="AE8" s="210" t="str">
        <f t="shared" si="3"/>
        <v/>
      </c>
      <c r="AF8" s="210" t="str">
        <f t="shared" si="4"/>
        <v/>
      </c>
      <c r="AG8" s="373">
        <f t="shared" si="5"/>
        <v>0</v>
      </c>
      <c r="AH8" s="299">
        <f t="shared" si="6"/>
        <v>1.0015800000000001</v>
      </c>
      <c r="AI8" s="194">
        <f>IF(AB8="","",SMALL(AH$6:AH$21,ROWS(AL$6:AL8)))</f>
        <v>1.0015700000000001</v>
      </c>
      <c r="AJ8" s="652">
        <f>IF(AI8="","",IF(AND(AL7=AL8),$AJ7,$AJ$6+2))</f>
        <v>1</v>
      </c>
      <c r="AK8" s="437">
        <f t="shared" si="7"/>
        <v>0</v>
      </c>
      <c r="AL8" s="438">
        <f t="shared" si="8"/>
        <v>0</v>
      </c>
      <c r="AM8" s="192"/>
      <c r="AN8" s="740" t="s">
        <v>114</v>
      </c>
      <c r="AO8" s="492">
        <v>2</v>
      </c>
      <c r="AP8" s="137" t="s">
        <v>244</v>
      </c>
      <c r="AQ8" s="266" t="s">
        <v>316</v>
      </c>
    </row>
    <row r="9" spans="1:43" ht="26.1" customHeight="1" thickBot="1">
      <c r="A9" s="94">
        <v>4</v>
      </c>
      <c r="B9" s="557"/>
      <c r="C9" s="558"/>
      <c r="D9" s="96"/>
      <c r="E9" s="44"/>
      <c r="F9" s="591">
        <v>2</v>
      </c>
      <c r="G9" s="569">
        <v>4</v>
      </c>
      <c r="H9" s="203" t="str">
        <f t="shared" si="0"/>
        <v/>
      </c>
      <c r="I9" s="129">
        <f>IF(J8=J9,0,IF(J8&gt;J9,2,4))</f>
        <v>0</v>
      </c>
      <c r="J9" s="659"/>
      <c r="K9" s="44"/>
      <c r="L9" s="589">
        <v>5</v>
      </c>
      <c r="M9" s="520" t="str">
        <f>IF(J12=J13,"Gagnant du 4",IF(J12&gt;J13,H12,H13))</f>
        <v>Gagnant du 4</v>
      </c>
      <c r="N9" s="129">
        <f>IF(O8=O9,0,IF(O8&gt;O9,0,2))</f>
        <v>0</v>
      </c>
      <c r="O9" s="657"/>
      <c r="P9" s="44"/>
      <c r="Q9" s="589">
        <v>2</v>
      </c>
      <c r="R9" s="520" t="str">
        <f>IF(O10=O11,"Gagnant du 7",IF(O10&gt;O11,M10,M11))</f>
        <v>Gagnant du 7</v>
      </c>
      <c r="S9" s="129">
        <f>IF(T8=T9,0,IF(T8&gt;T9,0,2))</f>
        <v>0</v>
      </c>
      <c r="T9" s="657"/>
      <c r="U9" s="44"/>
      <c r="V9" s="44"/>
      <c r="W9" s="131"/>
      <c r="X9" s="131"/>
      <c r="Y9" s="44"/>
      <c r="Z9" s="113"/>
      <c r="AA9" s="137">
        <v>4</v>
      </c>
      <c r="AB9" s="332">
        <f t="shared" si="9"/>
        <v>0</v>
      </c>
      <c r="AC9" s="210" t="str">
        <f t="shared" si="1"/>
        <v/>
      </c>
      <c r="AD9" s="210" t="str">
        <f t="shared" si="2"/>
        <v/>
      </c>
      <c r="AE9" s="210" t="str">
        <f t="shared" si="3"/>
        <v/>
      </c>
      <c r="AF9" s="210" t="str">
        <f t="shared" si="4"/>
        <v/>
      </c>
      <c r="AG9" s="373">
        <f t="shared" si="5"/>
        <v>0</v>
      </c>
      <c r="AH9" s="299">
        <f t="shared" si="6"/>
        <v>1.00159</v>
      </c>
      <c r="AI9" s="194">
        <f>IF(AB9="","",SMALL(AH$6:AH$21,ROWS(AL$6:AL9)))</f>
        <v>1.0015800000000001</v>
      </c>
      <c r="AJ9" s="652">
        <f>IF(AI9="","",IF(AND(AL8=AL9),$AJ8,$AJ$6+3))</f>
        <v>1</v>
      </c>
      <c r="AK9" s="437">
        <f t="shared" si="7"/>
        <v>0</v>
      </c>
      <c r="AL9" s="438">
        <f t="shared" si="8"/>
        <v>0</v>
      </c>
      <c r="AM9" s="192"/>
      <c r="AN9" s="740" t="s">
        <v>114</v>
      </c>
      <c r="AO9" s="493">
        <v>2</v>
      </c>
      <c r="AP9" s="138" t="s">
        <v>244</v>
      </c>
      <c r="AQ9" s="258" t="s">
        <v>316</v>
      </c>
    </row>
    <row r="10" spans="1:43" ht="26.1" customHeight="1">
      <c r="A10" s="94">
        <v>5</v>
      </c>
      <c r="B10" s="559"/>
      <c r="C10" s="560"/>
      <c r="D10" s="96"/>
      <c r="E10" s="44"/>
      <c r="F10" s="590" t="s">
        <v>2</v>
      </c>
      <c r="G10" s="568">
        <v>5</v>
      </c>
      <c r="H10" s="182" t="str">
        <f>IF(ISNA(MATCH(G10,$D$6:$D$21,0)),"",INDEX($B$6:$B$21,MATCH(G10,$D$6:$D$21,0)))</f>
        <v/>
      </c>
      <c r="I10" s="125">
        <f>IF(J10=J11,0,IF(J10&lt;J11,2,4))</f>
        <v>0</v>
      </c>
      <c r="J10" s="656"/>
      <c r="K10" s="44"/>
      <c r="L10" s="585" t="s">
        <v>2</v>
      </c>
      <c r="M10" s="521" t="str">
        <f>IF(J14=J15,"Gagnant du 5",IF(J14&gt;J15,H14,H15))</f>
        <v>Gagnant du 5</v>
      </c>
      <c r="N10" s="133">
        <f>IF(O10=O11,0,IF(O10&lt;O11,0,2))</f>
        <v>0</v>
      </c>
      <c r="O10" s="656"/>
      <c r="P10" s="44"/>
      <c r="Q10" s="44"/>
      <c r="R10" s="131"/>
      <c r="S10" s="131"/>
      <c r="T10" s="44"/>
      <c r="U10" s="44"/>
      <c r="V10" s="44"/>
      <c r="W10" s="131"/>
      <c r="X10" s="131"/>
      <c r="Y10" s="44"/>
      <c r="Z10" s="113"/>
      <c r="AA10" s="137">
        <v>5</v>
      </c>
      <c r="AB10" s="332">
        <f t="shared" si="9"/>
        <v>0</v>
      </c>
      <c r="AC10" s="210" t="str">
        <f t="shared" si="1"/>
        <v/>
      </c>
      <c r="AD10" s="210" t="str">
        <f t="shared" si="2"/>
        <v/>
      </c>
      <c r="AE10" s="210" t="str">
        <f t="shared" si="3"/>
        <v/>
      </c>
      <c r="AF10" s="210" t="str">
        <f t="shared" si="4"/>
        <v/>
      </c>
      <c r="AG10" s="373">
        <f t="shared" si="5"/>
        <v>0</v>
      </c>
      <c r="AH10" s="299">
        <f t="shared" si="6"/>
        <v>1.0016</v>
      </c>
      <c r="AI10" s="194">
        <f>IF(AB10="","",SMALL(AH$6:AH$21,ROWS(AL$6:AL10)))</f>
        <v>1.00159</v>
      </c>
      <c r="AJ10" s="652">
        <f>IF(AI10="","",IF(AND(AL9=AL10),$AJ9,$AJ$6+4))</f>
        <v>1</v>
      </c>
      <c r="AK10" s="437">
        <f t="shared" si="7"/>
        <v>0</v>
      </c>
      <c r="AL10" s="438">
        <f t="shared" si="8"/>
        <v>0</v>
      </c>
      <c r="AM10" s="192"/>
      <c r="AN10" s="660" t="s">
        <v>118</v>
      </c>
      <c r="AO10" s="491">
        <v>2</v>
      </c>
      <c r="AP10" s="259" t="s">
        <v>247</v>
      </c>
      <c r="AQ10" s="256" t="s">
        <v>316</v>
      </c>
    </row>
    <row r="11" spans="1:43" ht="26.1" customHeight="1" thickBot="1">
      <c r="A11" s="94">
        <v>6</v>
      </c>
      <c r="B11" s="557"/>
      <c r="C11" s="558"/>
      <c r="D11" s="96"/>
      <c r="E11" s="44"/>
      <c r="F11" s="591">
        <v>3</v>
      </c>
      <c r="G11" s="569">
        <v>6</v>
      </c>
      <c r="H11" s="198" t="str">
        <f t="shared" si="0"/>
        <v/>
      </c>
      <c r="I11" s="129">
        <f>IF(J10=J11,0,IF(J10&gt;J11,2,4))</f>
        <v>0</v>
      </c>
      <c r="J11" s="657"/>
      <c r="K11" s="47"/>
      <c r="L11" s="589">
        <v>7</v>
      </c>
      <c r="M11" s="520" t="str">
        <f>IF(J16=J17,"Gagnant du 6",IF(J16&gt;J17,H16,H17))</f>
        <v>Gagnant du 6</v>
      </c>
      <c r="N11" s="129">
        <f>IF(O10=O11,0,IF(O10&gt;O11,0,2))</f>
        <v>0</v>
      </c>
      <c r="O11" s="657"/>
      <c r="P11" s="47"/>
      <c r="Q11" s="44"/>
      <c r="R11" s="167" t="s">
        <v>51</v>
      </c>
      <c r="S11" s="167"/>
      <c r="T11" s="44"/>
      <c r="U11" s="47"/>
      <c r="V11" s="47"/>
      <c r="W11" s="147"/>
      <c r="X11" s="147"/>
      <c r="Y11" s="47"/>
      <c r="Z11" s="61"/>
      <c r="AA11" s="137">
        <v>6</v>
      </c>
      <c r="AB11" s="332">
        <f t="shared" si="9"/>
        <v>0</v>
      </c>
      <c r="AC11" s="210" t="str">
        <f t="shared" si="1"/>
        <v/>
      </c>
      <c r="AD11" s="210" t="str">
        <f t="shared" si="2"/>
        <v/>
      </c>
      <c r="AE11" s="210" t="str">
        <f t="shared" si="3"/>
        <v/>
      </c>
      <c r="AF11" s="210" t="str">
        <f t="shared" si="4"/>
        <v/>
      </c>
      <c r="AG11" s="373">
        <f t="shared" si="5"/>
        <v>0</v>
      </c>
      <c r="AH11" s="299">
        <f t="shared" si="6"/>
        <v>1.0016100000000001</v>
      </c>
      <c r="AI11" s="194">
        <f>IF(AB11="","",SMALL(AH$6:AH$21,ROWS(AL$6:AL11)))</f>
        <v>1.0016</v>
      </c>
      <c r="AJ11" s="652">
        <f>IF(AI11="","",IF(AND(AL10=AL11),$AJ10,$AJ$6+5))</f>
        <v>1</v>
      </c>
      <c r="AK11" s="437">
        <f t="shared" si="7"/>
        <v>0</v>
      </c>
      <c r="AL11" s="438">
        <f t="shared" si="8"/>
        <v>0</v>
      </c>
      <c r="AM11" s="192"/>
      <c r="AN11" s="661" t="s">
        <v>20</v>
      </c>
      <c r="AO11" s="492">
        <v>2</v>
      </c>
      <c r="AP11" s="137" t="s">
        <v>331</v>
      </c>
      <c r="AQ11" s="266" t="s">
        <v>321</v>
      </c>
    </row>
    <row r="12" spans="1:43" ht="26.1" customHeight="1" thickBot="1">
      <c r="A12" s="94">
        <v>7</v>
      </c>
      <c r="B12" s="559"/>
      <c r="C12" s="560"/>
      <c r="D12" s="96"/>
      <c r="E12" s="44"/>
      <c r="F12" s="590" t="s">
        <v>2</v>
      </c>
      <c r="G12" s="568">
        <v>7</v>
      </c>
      <c r="H12" s="202" t="str">
        <f t="shared" si="0"/>
        <v/>
      </c>
      <c r="I12" s="125">
        <f>IF(J12=J13,0,IF(J12&lt;J13,2,4))</f>
        <v>0</v>
      </c>
      <c r="J12" s="658"/>
      <c r="K12" s="44"/>
      <c r="L12" s="585" t="s">
        <v>2</v>
      </c>
      <c r="M12" s="521" t="str">
        <f>IF(J18=J19,"Gagnant du 7",IF(J18&gt;J19,H18,H19))</f>
        <v>Gagnant du 7</v>
      </c>
      <c r="N12" s="133">
        <f>IF(O12=O13,0,IF(O12&lt;O13,0,2))</f>
        <v>0</v>
      </c>
      <c r="O12" s="656"/>
      <c r="P12" s="44"/>
      <c r="Q12" s="522" t="s">
        <v>2</v>
      </c>
      <c r="R12" s="528" t="str">
        <f>IF(O17=O18,"Gagnant du 2",IF(O17&gt;O18,M17,M18))</f>
        <v>Gagnant du 2</v>
      </c>
      <c r="S12" s="133">
        <f>IF(T12=T13,0,IF(T12&lt;T13,0,1))</f>
        <v>0</v>
      </c>
      <c r="T12" s="631"/>
      <c r="U12" s="44"/>
      <c r="V12" s="44"/>
      <c r="W12" s="167" t="s">
        <v>10</v>
      </c>
      <c r="X12" s="167"/>
      <c r="Y12" s="44"/>
      <c r="Z12" s="113"/>
      <c r="AA12" s="137">
        <v>7</v>
      </c>
      <c r="AB12" s="332">
        <f t="shared" si="9"/>
        <v>0</v>
      </c>
      <c r="AC12" s="210" t="str">
        <f t="shared" si="1"/>
        <v/>
      </c>
      <c r="AD12" s="210" t="str">
        <f t="shared" si="2"/>
        <v/>
      </c>
      <c r="AE12" s="210" t="str">
        <f t="shared" si="3"/>
        <v/>
      </c>
      <c r="AF12" s="210" t="str">
        <f t="shared" si="4"/>
        <v/>
      </c>
      <c r="AG12" s="373">
        <f t="shared" si="5"/>
        <v>0</v>
      </c>
      <c r="AH12" s="299">
        <f t="shared" si="6"/>
        <v>1.00162</v>
      </c>
      <c r="AI12" s="194">
        <f>IF(AB12="","",SMALL(AH$6:AH$21,ROWS(AL$6:AL12)))</f>
        <v>1.0016100000000001</v>
      </c>
      <c r="AJ12" s="652">
        <f>IF(AI12="","",IF(AND(AL11=AL12),$AJ11,$AJ$6+6))</f>
        <v>1</v>
      </c>
      <c r="AK12" s="437">
        <f t="shared" si="7"/>
        <v>0</v>
      </c>
      <c r="AL12" s="438">
        <f t="shared" si="8"/>
        <v>0</v>
      </c>
      <c r="AM12" s="192"/>
      <c r="AN12" s="661" t="s">
        <v>65</v>
      </c>
      <c r="AO12" s="492">
        <v>2</v>
      </c>
      <c r="AP12" s="137" t="s">
        <v>252</v>
      </c>
      <c r="AQ12" s="266" t="s">
        <v>317</v>
      </c>
    </row>
    <row r="13" spans="1:43" ht="26.1" customHeight="1" thickBot="1">
      <c r="A13" s="94">
        <v>8</v>
      </c>
      <c r="B13" s="557"/>
      <c r="C13" s="558"/>
      <c r="D13" s="96"/>
      <c r="E13" s="44"/>
      <c r="F13" s="591">
        <v>4</v>
      </c>
      <c r="G13" s="569">
        <v>8</v>
      </c>
      <c r="H13" s="203" t="str">
        <f t="shared" si="0"/>
        <v/>
      </c>
      <c r="I13" s="129">
        <f>IF(J12=J13,0,IF(J12&gt;J13,2,4))</f>
        <v>0</v>
      </c>
      <c r="J13" s="659"/>
      <c r="K13" s="44"/>
      <c r="L13" s="589">
        <v>1</v>
      </c>
      <c r="M13" s="520" t="str">
        <f>IF(J20=J21,"Gagnant du 8",IF(J20&gt;J21,H20,H21))</f>
        <v/>
      </c>
      <c r="N13" s="129">
        <f>IF(O12=O13,0,IF(O12&gt;O13,0,2))</f>
        <v>0</v>
      </c>
      <c r="O13" s="657"/>
      <c r="P13" s="44"/>
      <c r="Q13" s="524">
        <v>5</v>
      </c>
      <c r="R13" s="521" t="str">
        <f>IF(O15=O16,"Gagnant du 8",IF(O15&gt;O16,M15,M16))</f>
        <v>Gagnant du 8</v>
      </c>
      <c r="S13" s="129">
        <f>IF(T12=T13,0,IF(T12&gt;T13,0,1))</f>
        <v>0</v>
      </c>
      <c r="T13" s="632"/>
      <c r="U13" s="44"/>
      <c r="V13" s="522" t="s">
        <v>2</v>
      </c>
      <c r="W13" s="528" t="str">
        <f>IF(T14=T15,"Gagnant du 3",IF(T14&gt;T15,R14,R15))</f>
        <v>Gagnant du 3</v>
      </c>
      <c r="X13" s="133">
        <f>IF(Y13=Y14,0,IF(Y13&lt;Y14,0,1))</f>
        <v>0</v>
      </c>
      <c r="Y13" s="631"/>
      <c r="Z13" s="61"/>
      <c r="AA13" s="137">
        <v>8</v>
      </c>
      <c r="AB13" s="332">
        <f t="shared" si="9"/>
        <v>0</v>
      </c>
      <c r="AC13" s="210" t="str">
        <f t="shared" si="1"/>
        <v/>
      </c>
      <c r="AD13" s="210" t="str">
        <f t="shared" si="2"/>
        <v/>
      </c>
      <c r="AE13" s="210" t="str">
        <f t="shared" si="3"/>
        <v/>
      </c>
      <c r="AF13" s="210" t="str">
        <f t="shared" si="4"/>
        <v/>
      </c>
      <c r="AG13" s="373">
        <f t="shared" si="5"/>
        <v>0</v>
      </c>
      <c r="AH13" s="299">
        <f t="shared" si="6"/>
        <v>1.00163</v>
      </c>
      <c r="AI13" s="194">
        <f>IF(AB13="","",SMALL(AH$6:AH$21,ROWS(AL$6:AL13)))</f>
        <v>1.00162</v>
      </c>
      <c r="AJ13" s="652">
        <f>IF(AI13="","",IF(AND(AL12=AL13),$AJ12,$AJ$6+7))</f>
        <v>1</v>
      </c>
      <c r="AK13" s="437">
        <f t="shared" si="7"/>
        <v>0</v>
      </c>
      <c r="AL13" s="438">
        <f t="shared" si="8"/>
        <v>0</v>
      </c>
      <c r="AM13" s="192"/>
      <c r="AN13" s="662" t="s">
        <v>65</v>
      </c>
      <c r="AO13" s="493">
        <v>2</v>
      </c>
      <c r="AP13" s="138" t="s">
        <v>252</v>
      </c>
      <c r="AQ13" s="266" t="s">
        <v>317</v>
      </c>
    </row>
    <row r="14" spans="1:43" ht="26.1" customHeight="1" thickBot="1">
      <c r="A14" s="94">
        <v>9</v>
      </c>
      <c r="B14" s="559"/>
      <c r="C14" s="560"/>
      <c r="D14" s="96"/>
      <c r="E14" s="44"/>
      <c r="F14" s="590" t="s">
        <v>2</v>
      </c>
      <c r="G14" s="568">
        <v>9</v>
      </c>
      <c r="H14" s="182" t="str">
        <f t="shared" si="0"/>
        <v/>
      </c>
      <c r="I14" s="125">
        <f>IF(J14=J15,0,IF(J14&lt;J15,2,4))</f>
        <v>0</v>
      </c>
      <c r="J14" s="656"/>
      <c r="K14" s="44"/>
      <c r="L14" s="44"/>
      <c r="M14" s="584" t="s">
        <v>7</v>
      </c>
      <c r="N14" s="410"/>
      <c r="O14" s="44"/>
      <c r="P14" s="44"/>
      <c r="Q14" s="522" t="s">
        <v>2</v>
      </c>
      <c r="R14" s="528" t="str">
        <f>IF(O19=O20,"Gagnant du 4",IF(O19&gt;O20,M19,M20))</f>
        <v>Gagnant du 4</v>
      </c>
      <c r="S14" s="133">
        <f>IF(T14=T15,0,IF(T14&lt;T15,0,1))</f>
        <v>0</v>
      </c>
      <c r="T14" s="631"/>
      <c r="U14" s="44"/>
      <c r="V14" s="524">
        <v>1</v>
      </c>
      <c r="W14" s="520" t="str">
        <f>IF(T12=T13,"Gagnant du 5",IF(T12&gt;T13,R12,R13))</f>
        <v>Gagnant du 5</v>
      </c>
      <c r="X14" s="129">
        <f>IF(Y13=Y14,0,IF(Y13&gt;Y14,0,1))</f>
        <v>0</v>
      </c>
      <c r="Y14" s="632"/>
      <c r="Z14" s="61"/>
      <c r="AA14" s="137">
        <v>9</v>
      </c>
      <c r="AB14" s="332">
        <f t="shared" si="9"/>
        <v>0</v>
      </c>
      <c r="AC14" s="210" t="str">
        <f t="shared" si="1"/>
        <v/>
      </c>
      <c r="AD14" s="210" t="str">
        <f t="shared" si="2"/>
        <v/>
      </c>
      <c r="AE14" s="210" t="str">
        <f t="shared" si="3"/>
        <v/>
      </c>
      <c r="AF14" s="210" t="str">
        <f t="shared" si="4"/>
        <v/>
      </c>
      <c r="AG14" s="373">
        <f t="shared" si="5"/>
        <v>0</v>
      </c>
      <c r="AH14" s="299">
        <f t="shared" si="6"/>
        <v>1.0016400000000001</v>
      </c>
      <c r="AI14" s="194">
        <f>IF(AB14="","",SMALL(AH$6:AH$21,ROWS(AL$6:AL14)))</f>
        <v>1.00163</v>
      </c>
      <c r="AJ14" s="652">
        <f>IF(AI14="","",IF(AND(AL13=AL14),$AJ13,$AJ$6+8))</f>
        <v>1</v>
      </c>
      <c r="AK14" s="437">
        <f t="shared" si="7"/>
        <v>0</v>
      </c>
      <c r="AL14" s="438">
        <f t="shared" si="8"/>
        <v>0</v>
      </c>
      <c r="AM14" s="192"/>
      <c r="AN14" s="663" t="s">
        <v>117</v>
      </c>
      <c r="AO14" s="491">
        <v>2</v>
      </c>
      <c r="AP14" s="259" t="s">
        <v>249</v>
      </c>
      <c r="AQ14" s="256" t="s">
        <v>324</v>
      </c>
    </row>
    <row r="15" spans="1:43" ht="26.1" customHeight="1" thickBot="1">
      <c r="A15" s="94">
        <v>10</v>
      </c>
      <c r="B15" s="557"/>
      <c r="C15" s="558"/>
      <c r="D15" s="96"/>
      <c r="E15" s="44"/>
      <c r="F15" s="591">
        <v>5</v>
      </c>
      <c r="G15" s="569">
        <v>10</v>
      </c>
      <c r="H15" s="198" t="str">
        <f t="shared" si="0"/>
        <v/>
      </c>
      <c r="I15" s="129">
        <f>IF(J14=J15,0,IF(J14&gt;J15,2,4))</f>
        <v>0</v>
      </c>
      <c r="J15" s="657"/>
      <c r="K15" s="44"/>
      <c r="L15" s="522" t="s">
        <v>2</v>
      </c>
      <c r="M15" s="528" t="str">
        <f>IF(J6=J7,"Perdant du 1",IF(J6&lt;J7,H6,H7))</f>
        <v>Perdant du 1</v>
      </c>
      <c r="N15" s="133">
        <f>IF(O15=O16,0,IF(O15&lt;O16,0,1))</f>
        <v>0</v>
      </c>
      <c r="O15" s="631"/>
      <c r="P15" s="44"/>
      <c r="Q15" s="524">
        <v>3</v>
      </c>
      <c r="R15" s="520" t="str">
        <f>IF(O21=O22,"Gagnant du 6",IF(O21&gt;O22,M21,M22))</f>
        <v>Perdant du 7</v>
      </c>
      <c r="S15" s="129">
        <f>IF(T14=T15,0,IF(T14&gt;T15,0,1))</f>
        <v>0</v>
      </c>
      <c r="T15" s="632"/>
      <c r="U15" s="44"/>
      <c r="V15" s="44"/>
      <c r="W15" s="131"/>
      <c r="X15" s="131"/>
      <c r="Y15" s="44"/>
      <c r="Z15" s="113"/>
      <c r="AA15" s="137">
        <v>10</v>
      </c>
      <c r="AB15" s="332">
        <f t="shared" si="9"/>
        <v>0</v>
      </c>
      <c r="AC15" s="210" t="str">
        <f t="shared" si="1"/>
        <v/>
      </c>
      <c r="AD15" s="210" t="str">
        <f t="shared" si="2"/>
        <v/>
      </c>
      <c r="AE15" s="210" t="str">
        <f t="shared" si="3"/>
        <v/>
      </c>
      <c r="AF15" s="210" t="str">
        <f t="shared" si="4"/>
        <v/>
      </c>
      <c r="AG15" s="373">
        <f t="shared" si="5"/>
        <v>0</v>
      </c>
      <c r="AH15" s="299">
        <f t="shared" si="6"/>
        <v>1.0016500000000002</v>
      </c>
      <c r="AI15" s="194">
        <f>IF(AB15="","",SMALL(AH$6:AH$21,ROWS(AL$6:AL15)))</f>
        <v>1.0016400000000001</v>
      </c>
      <c r="AJ15" s="652">
        <f>IF(AI15="","",IF(AND(AL14=AL15),$AJ14,$AJ$6+9))</f>
        <v>1</v>
      </c>
      <c r="AK15" s="437">
        <f t="shared" si="7"/>
        <v>0</v>
      </c>
      <c r="AL15" s="438">
        <f t="shared" si="8"/>
        <v>0</v>
      </c>
      <c r="AM15" s="192"/>
      <c r="AN15" s="664" t="s">
        <v>18</v>
      </c>
      <c r="AO15" s="492">
        <v>2</v>
      </c>
      <c r="AP15" s="137" t="s">
        <v>309</v>
      </c>
      <c r="AQ15" s="458" t="s">
        <v>318</v>
      </c>
    </row>
    <row r="16" spans="1:43" ht="26.1" customHeight="1" thickBot="1">
      <c r="A16" s="94">
        <v>11</v>
      </c>
      <c r="B16" s="559"/>
      <c r="C16" s="560"/>
      <c r="D16" s="96"/>
      <c r="E16" s="44"/>
      <c r="F16" s="590" t="s">
        <v>2</v>
      </c>
      <c r="G16" s="568">
        <v>11</v>
      </c>
      <c r="H16" s="202" t="str">
        <f t="shared" si="0"/>
        <v/>
      </c>
      <c r="I16" s="125">
        <f>IF(J16=J17,0,IF(J16&lt;J17,2,4))</f>
        <v>0</v>
      </c>
      <c r="J16" s="658"/>
      <c r="K16" s="44"/>
      <c r="L16" s="524">
        <v>8</v>
      </c>
      <c r="M16" s="521" t="str">
        <f>IF(J8=J9,"Perdant du 2",IF(J8&lt;J9,H8,H9))</f>
        <v>Perdant du 2</v>
      </c>
      <c r="N16" s="129">
        <f>IF(O15=O16,0,IF(O15&gt;O16,0,1))</f>
        <v>0</v>
      </c>
      <c r="O16" s="632"/>
      <c r="P16" s="44"/>
      <c r="Q16" s="44"/>
      <c r="R16" s="131"/>
      <c r="S16" s="131"/>
      <c r="T16" s="44"/>
      <c r="U16" s="44"/>
      <c r="V16" s="44"/>
      <c r="W16" s="131"/>
      <c r="X16" s="131"/>
      <c r="Y16" s="44"/>
      <c r="Z16" s="113"/>
      <c r="AA16" s="137">
        <v>11</v>
      </c>
      <c r="AB16" s="332">
        <f t="shared" si="9"/>
        <v>0</v>
      </c>
      <c r="AC16" s="210" t="str">
        <f t="shared" si="1"/>
        <v/>
      </c>
      <c r="AD16" s="210" t="str">
        <f t="shared" si="2"/>
        <v/>
      </c>
      <c r="AE16" s="210" t="str">
        <f t="shared" si="3"/>
        <v/>
      </c>
      <c r="AF16" s="210" t="str">
        <f t="shared" si="4"/>
        <v/>
      </c>
      <c r="AG16" s="373">
        <f t="shared" si="5"/>
        <v>0</v>
      </c>
      <c r="AH16" s="299">
        <f t="shared" si="6"/>
        <v>1.00166</v>
      </c>
      <c r="AI16" s="194">
        <f>IF(AB16="","",SMALL(AH$6:AH$21,ROWS(AL$6:AL16)))</f>
        <v>1.0016500000000002</v>
      </c>
      <c r="AJ16" s="652">
        <f>IF(AI16="","",IF(AND(AL15=AL16),$AJ15,$AJ$6+10))</f>
        <v>1</v>
      </c>
      <c r="AK16" s="437">
        <f t="shared" si="7"/>
        <v>0</v>
      </c>
      <c r="AL16" s="438">
        <f t="shared" si="8"/>
        <v>0</v>
      </c>
      <c r="AM16" s="192"/>
      <c r="AN16" s="667" t="s">
        <v>64</v>
      </c>
      <c r="AO16" s="492">
        <v>2</v>
      </c>
      <c r="AP16" s="137" t="s">
        <v>251</v>
      </c>
      <c r="AQ16" s="266" t="s">
        <v>320</v>
      </c>
    </row>
    <row r="17" spans="1:43" ht="26.1" customHeight="1" thickBot="1">
      <c r="A17" s="94">
        <v>12</v>
      </c>
      <c r="B17" s="557"/>
      <c r="C17" s="558"/>
      <c r="D17" s="96"/>
      <c r="E17" s="44"/>
      <c r="F17" s="591">
        <v>6</v>
      </c>
      <c r="G17" s="569">
        <v>12</v>
      </c>
      <c r="H17" s="203" t="str">
        <f t="shared" si="0"/>
        <v/>
      </c>
      <c r="I17" s="129">
        <f>IF(J16=J17,0,IF(J16&gt;J17,2,4))</f>
        <v>0</v>
      </c>
      <c r="J17" s="659"/>
      <c r="K17" s="44"/>
      <c r="L17" s="522" t="s">
        <v>2</v>
      </c>
      <c r="M17" s="528" t="str">
        <f>IF(J10=J11,"Perdant du 3",IF(J10&lt;J11,H10,H11))</f>
        <v>Perdant du 3</v>
      </c>
      <c r="N17" s="133">
        <f>IF(O17=O18,0,IF(O17&lt;O18,0,1))</f>
        <v>0</v>
      </c>
      <c r="O17" s="631"/>
      <c r="P17" s="44"/>
      <c r="Q17" s="44"/>
      <c r="R17" s="167" t="s">
        <v>53</v>
      </c>
      <c r="S17" s="167"/>
      <c r="T17" s="44"/>
      <c r="U17" s="44"/>
      <c r="V17" s="44"/>
      <c r="W17" s="131"/>
      <c r="X17" s="131"/>
      <c r="Y17" s="44"/>
      <c r="Z17" s="113"/>
      <c r="AA17" s="137">
        <v>12</v>
      </c>
      <c r="AB17" s="332">
        <f t="shared" si="9"/>
        <v>0</v>
      </c>
      <c r="AC17" s="210" t="str">
        <f t="shared" si="1"/>
        <v/>
      </c>
      <c r="AD17" s="210" t="str">
        <f t="shared" si="2"/>
        <v/>
      </c>
      <c r="AE17" s="210" t="str">
        <f t="shared" si="3"/>
        <v/>
      </c>
      <c r="AF17" s="210" t="str">
        <f t="shared" si="4"/>
        <v/>
      </c>
      <c r="AG17" s="373">
        <f t="shared" si="5"/>
        <v>0</v>
      </c>
      <c r="AH17" s="299">
        <f t="shared" si="6"/>
        <v>1.0016700000000001</v>
      </c>
      <c r="AI17" s="194">
        <f>IF(AB17="","",SMALL(AH$6:AH$21,ROWS(AL$6:AL17)))</f>
        <v>1.00166</v>
      </c>
      <c r="AJ17" s="652">
        <f>IF(AI17="","",IF(AND(AL16=AL17),$AJ16,$AJ$6+11))</f>
        <v>1</v>
      </c>
      <c r="AK17" s="437">
        <f t="shared" si="7"/>
        <v>0</v>
      </c>
      <c r="AL17" s="438">
        <f t="shared" si="8"/>
        <v>0</v>
      </c>
      <c r="AM17" s="192"/>
      <c r="AN17" s="666" t="s">
        <v>64</v>
      </c>
      <c r="AO17" s="497">
        <v>2</v>
      </c>
      <c r="AP17" s="138" t="s">
        <v>271</v>
      </c>
      <c r="AQ17" s="258">
        <v>2.5</v>
      </c>
    </row>
    <row r="18" spans="1:43" ht="26.1" customHeight="1" thickBot="1">
      <c r="A18" s="94">
        <v>13</v>
      </c>
      <c r="B18" s="559"/>
      <c r="C18" s="560"/>
      <c r="D18" s="96"/>
      <c r="E18" s="44"/>
      <c r="F18" s="590" t="s">
        <v>2</v>
      </c>
      <c r="G18" s="568">
        <v>13</v>
      </c>
      <c r="H18" s="182" t="str">
        <f t="shared" si="0"/>
        <v/>
      </c>
      <c r="I18" s="125">
        <f>IF(J18=J19,0,IF(J18&lt;J19,2,4))</f>
        <v>0</v>
      </c>
      <c r="J18" s="656"/>
      <c r="K18" s="44"/>
      <c r="L18" s="524">
        <v>2</v>
      </c>
      <c r="M18" s="521" t="str">
        <f>IF(J12=J13,"Perdant du 4",IF(J12&lt;J13,H12,H13))</f>
        <v>Perdant du 4</v>
      </c>
      <c r="N18" s="129">
        <f>IF(O17=O18,0,IF(O17&gt;O18,0,1))</f>
        <v>0</v>
      </c>
      <c r="O18" s="632"/>
      <c r="P18" s="44"/>
      <c r="Q18" s="483" t="s">
        <v>2</v>
      </c>
      <c r="R18" s="535" t="str">
        <f>IF(O12=O13,"Perdant du 1",IF(O12&lt;O13,M12,M13))</f>
        <v>Perdant du 1</v>
      </c>
      <c r="S18" s="133">
        <f>IF(T18=T19,0,IF(T18&lt;T19,0,1))</f>
        <v>0</v>
      </c>
      <c r="T18" s="511"/>
      <c r="U18" s="44"/>
      <c r="V18" s="44"/>
      <c r="W18" s="167" t="s">
        <v>11</v>
      </c>
      <c r="X18" s="167"/>
      <c r="Y18" s="44"/>
      <c r="Z18" s="113"/>
      <c r="AA18" s="137">
        <v>13</v>
      </c>
      <c r="AB18" s="332">
        <f t="shared" si="9"/>
        <v>0</v>
      </c>
      <c r="AC18" s="210" t="str">
        <f t="shared" si="1"/>
        <v/>
      </c>
      <c r="AD18" s="210" t="str">
        <f t="shared" si="2"/>
        <v/>
      </c>
      <c r="AE18" s="210" t="str">
        <f t="shared" si="3"/>
        <v/>
      </c>
      <c r="AF18" s="210" t="str">
        <f t="shared" si="4"/>
        <v/>
      </c>
      <c r="AG18" s="373">
        <f t="shared" si="5"/>
        <v>0</v>
      </c>
      <c r="AH18" s="299">
        <f t="shared" si="6"/>
        <v>1.0016800000000001</v>
      </c>
      <c r="AI18" s="194">
        <f>IF(AB18="","",SMALL(AH$6:AH$21,ROWS(AL$6:AL18)))</f>
        <v>1.0016700000000001</v>
      </c>
      <c r="AJ18" s="652">
        <f>IF(AI18="","",IF(AND(AL17=AL18),$AJ17,$AJ$6+12))</f>
        <v>1</v>
      </c>
      <c r="AK18" s="437">
        <f t="shared" si="7"/>
        <v>0</v>
      </c>
      <c r="AL18" s="438">
        <f t="shared" si="8"/>
        <v>0</v>
      </c>
      <c r="AM18" s="192"/>
      <c r="AN18" s="494" t="s">
        <v>116</v>
      </c>
      <c r="AO18" s="498">
        <v>2</v>
      </c>
      <c r="AP18" s="259" t="s">
        <v>246</v>
      </c>
      <c r="AQ18" s="136">
        <f t="shared" ref="AQ18:AQ20" si="10">SUM(AO18:AP18)</f>
        <v>2</v>
      </c>
    </row>
    <row r="19" spans="1:43" ht="26.1" customHeight="1" thickBot="1">
      <c r="A19" s="94">
        <v>14</v>
      </c>
      <c r="B19" s="557"/>
      <c r="C19" s="558"/>
      <c r="D19" s="96"/>
      <c r="E19" s="44"/>
      <c r="F19" s="591">
        <v>7</v>
      </c>
      <c r="G19" s="569">
        <v>14</v>
      </c>
      <c r="H19" s="198" t="str">
        <f t="shared" si="0"/>
        <v/>
      </c>
      <c r="I19" s="129">
        <f>IF(J18=J19,0,IF(J18&gt;J19,2,4))</f>
        <v>0</v>
      </c>
      <c r="J19" s="657"/>
      <c r="K19" s="44"/>
      <c r="L19" s="522" t="s">
        <v>2</v>
      </c>
      <c r="M19" s="528" t="str">
        <f>IF(J14=J15,"Perdant du 5",IF(J14&lt;J15,H14,H15))</f>
        <v>Perdant du 5</v>
      </c>
      <c r="N19" s="133">
        <f>IF(O19=O20,0,IF(O19&lt;O20,0,1))</f>
        <v>0</v>
      </c>
      <c r="O19" s="631"/>
      <c r="P19" s="44"/>
      <c r="Q19" s="484">
        <v>4</v>
      </c>
      <c r="R19" s="521" t="str">
        <f>IF(O6=O7,"Perdant du 3",IF(O6&lt;O7,M6,M7))</f>
        <v>Perdant du 3</v>
      </c>
      <c r="S19" s="129">
        <f>IF(T18=T19,0,IF(T18&gt;T19,0,1))</f>
        <v>0</v>
      </c>
      <c r="T19" s="512"/>
      <c r="U19" s="44"/>
      <c r="V19" s="483" t="s">
        <v>2</v>
      </c>
      <c r="W19" s="535" t="str">
        <f>IF(T18=T19,"Gagnant du 4",IF(T18&gt;T19,R18,R19))</f>
        <v>Gagnant du 4</v>
      </c>
      <c r="X19" s="133">
        <f>IF(Y19=Y20,0,IF(Y19&lt;Y20,0,1))</f>
        <v>0</v>
      </c>
      <c r="Y19" s="511"/>
      <c r="Z19" s="61"/>
      <c r="AA19" s="137">
        <v>14</v>
      </c>
      <c r="AB19" s="332">
        <f t="shared" si="9"/>
        <v>0</v>
      </c>
      <c r="AC19" s="210" t="str">
        <f t="shared" si="1"/>
        <v/>
      </c>
      <c r="AD19" s="210" t="str">
        <f t="shared" si="2"/>
        <v/>
      </c>
      <c r="AE19" s="210" t="str">
        <f t="shared" si="3"/>
        <v/>
      </c>
      <c r="AF19" s="210" t="str">
        <f t="shared" si="4"/>
        <v/>
      </c>
      <c r="AG19" s="373">
        <f t="shared" si="5"/>
        <v>0</v>
      </c>
      <c r="AH19" s="299">
        <f t="shared" si="6"/>
        <v>1.00169</v>
      </c>
      <c r="AI19" s="194">
        <f>IF(AB19="","",SMALL(AH$6:AH$21,ROWS(AL$6:AL19)))</f>
        <v>1.0016800000000001</v>
      </c>
      <c r="AJ19" s="652">
        <f>IF(AI19="","",IF(AND(AL18=AL19),$AJ18,$AJ$6+13))</f>
        <v>1</v>
      </c>
      <c r="AK19" s="437">
        <f t="shared" si="7"/>
        <v>0</v>
      </c>
      <c r="AL19" s="438">
        <f t="shared" si="8"/>
        <v>0</v>
      </c>
      <c r="AM19" s="192"/>
      <c r="AN19" s="495" t="s">
        <v>116</v>
      </c>
      <c r="AO19" s="499">
        <v>2</v>
      </c>
      <c r="AP19" s="243" t="s">
        <v>246</v>
      </c>
      <c r="AQ19" s="137">
        <f t="shared" si="10"/>
        <v>2</v>
      </c>
    </row>
    <row r="20" spans="1:43" ht="26.1" customHeight="1" thickBot="1">
      <c r="A20" s="94">
        <v>15</v>
      </c>
      <c r="B20" s="559"/>
      <c r="C20" s="560"/>
      <c r="D20" s="96"/>
      <c r="E20" s="44"/>
      <c r="F20" s="590" t="s">
        <v>2</v>
      </c>
      <c r="G20" s="568">
        <v>15</v>
      </c>
      <c r="H20" s="182" t="str">
        <f t="shared" si="0"/>
        <v/>
      </c>
      <c r="I20" s="123">
        <v>3</v>
      </c>
      <c r="J20" s="121">
        <v>1</v>
      </c>
      <c r="K20" s="44"/>
      <c r="L20" s="526">
        <v>4</v>
      </c>
      <c r="M20" s="527" t="str">
        <f>IF(J16=J17,"Perdant du 6",IF(J16&lt;J17,H16,H17))</f>
        <v>Perdant du 6</v>
      </c>
      <c r="N20" s="129">
        <f>IF(O19=O20,0,IF(O19&gt;O20,0,1))</f>
        <v>0</v>
      </c>
      <c r="O20" s="634"/>
      <c r="P20" s="44"/>
      <c r="Q20" s="483" t="s">
        <v>2</v>
      </c>
      <c r="R20" s="528" t="str">
        <f>IF(O8=O9,"Perdant du 5",IF(O8&lt;O9,M8,M9))</f>
        <v>Perdant du 5</v>
      </c>
      <c r="S20" s="133">
        <f>IF(T20=T21,0,IF(T20&lt;T21,0,1))</f>
        <v>0</v>
      </c>
      <c r="T20" s="511"/>
      <c r="U20" s="44"/>
      <c r="V20" s="484">
        <v>6</v>
      </c>
      <c r="W20" s="520" t="str">
        <f>IF(T20=T21,"Gagnant du 8",IF(T20&gt;T21,R20,R21))</f>
        <v>Gagnant du 8</v>
      </c>
      <c r="X20" s="129">
        <f>IF(Y19=Y20,0,IF(Y19&gt;Y20,0,1))</f>
        <v>0</v>
      </c>
      <c r="Y20" s="512"/>
      <c r="Z20" s="61"/>
      <c r="AA20" s="137">
        <v>15</v>
      </c>
      <c r="AB20" s="332">
        <f t="shared" si="9"/>
        <v>0</v>
      </c>
      <c r="AC20" s="210" t="str">
        <f t="shared" si="1"/>
        <v/>
      </c>
      <c r="AD20" s="210" t="str">
        <f t="shared" si="2"/>
        <v/>
      </c>
      <c r="AE20" s="210" t="str">
        <f t="shared" si="3"/>
        <v/>
      </c>
      <c r="AF20" s="210" t="str">
        <f t="shared" si="4"/>
        <v/>
      </c>
      <c r="AG20" s="373">
        <f t="shared" si="5"/>
        <v>0</v>
      </c>
      <c r="AH20" s="299">
        <f t="shared" si="6"/>
        <v>1.0017</v>
      </c>
      <c r="AI20" s="194">
        <f>IF(AB20="","",SMALL(AH$6:AH$21,ROWS(AL$6:AL20)))</f>
        <v>1.00169</v>
      </c>
      <c r="AJ20" s="652">
        <f>IF(AI20="","",IF(AND(AL19=AL20),$AJ19,$AJ$6+14))</f>
        <v>1</v>
      </c>
      <c r="AK20" s="437">
        <f t="shared" si="7"/>
        <v>0</v>
      </c>
      <c r="AL20" s="438">
        <f t="shared" si="8"/>
        <v>0</v>
      </c>
      <c r="AM20" s="192"/>
      <c r="AN20" s="496" t="s">
        <v>116</v>
      </c>
      <c r="AO20" s="500">
        <v>2</v>
      </c>
      <c r="AP20" s="247" t="s">
        <v>246</v>
      </c>
      <c r="AQ20" s="138">
        <f t="shared" si="10"/>
        <v>2</v>
      </c>
    </row>
    <row r="21" spans="1:43" ht="26.1" customHeight="1" thickBot="1">
      <c r="A21" s="160">
        <v>16</v>
      </c>
      <c r="B21" s="200" t="s">
        <v>105</v>
      </c>
      <c r="C21" s="204"/>
      <c r="D21" s="159">
        <v>16</v>
      </c>
      <c r="E21" s="44"/>
      <c r="F21" s="502">
        <v>8</v>
      </c>
      <c r="G21" s="569">
        <v>16</v>
      </c>
      <c r="H21" s="205" t="str">
        <f t="shared" si="0"/>
        <v>OFFICE</v>
      </c>
      <c r="I21" s="124">
        <v>0</v>
      </c>
      <c r="J21" s="122"/>
      <c r="K21" s="44"/>
      <c r="L21" s="522" t="s">
        <v>2</v>
      </c>
      <c r="M21" s="528" t="str">
        <f>IF(J18=J19,"Perdant du 7",IF(J18&lt;J19,H18,H19))</f>
        <v>Perdant du 7</v>
      </c>
      <c r="N21" s="123">
        <v>0.5</v>
      </c>
      <c r="O21" s="121">
        <v>1</v>
      </c>
      <c r="P21" s="44"/>
      <c r="Q21" s="484">
        <v>8</v>
      </c>
      <c r="R21" s="520" t="str">
        <f>IF(O10=O11,"Perdant du 7",IF(O10&lt;O11,M10,M11))</f>
        <v>Perdant du 7</v>
      </c>
      <c r="S21" s="129">
        <f>IF(T20=T21,0,IF(T20&gt;T21,0,1))</f>
        <v>0</v>
      </c>
      <c r="T21" s="512"/>
      <c r="U21" s="44"/>
      <c r="V21" s="44"/>
      <c r="W21" s="44"/>
      <c r="X21" s="44"/>
      <c r="Y21" s="44"/>
      <c r="Z21" s="113"/>
      <c r="AA21" s="170">
        <v>16</v>
      </c>
      <c r="AB21" s="378" t="str">
        <f t="shared" si="9"/>
        <v>OFFICE</v>
      </c>
      <c r="AC21" s="379">
        <f t="shared" si="1"/>
        <v>0</v>
      </c>
      <c r="AD21" s="379">
        <f t="shared" si="2"/>
        <v>0</v>
      </c>
      <c r="AE21" s="379" t="str">
        <f t="shared" si="3"/>
        <v/>
      </c>
      <c r="AF21" s="379" t="str">
        <f t="shared" si="4"/>
        <v/>
      </c>
      <c r="AG21" s="380">
        <f t="shared" si="5"/>
        <v>0</v>
      </c>
      <c r="AH21" s="374">
        <f t="shared" si="6"/>
        <v>1.00021</v>
      </c>
      <c r="AI21" s="375">
        <f>IF(AB21="","",SMALL(AH$6:AH$21,ROWS(AL$6:AL21)))</f>
        <v>1.0017</v>
      </c>
      <c r="AJ21" s="673">
        <v>16</v>
      </c>
      <c r="AK21" s="376">
        <f t="shared" si="7"/>
        <v>0</v>
      </c>
      <c r="AL21" s="377">
        <f t="shared" si="8"/>
        <v>0</v>
      </c>
      <c r="AM21" s="192"/>
      <c r="AN21" s="30"/>
      <c r="AO21" s="30"/>
      <c r="AP21"/>
      <c r="AQ21"/>
    </row>
    <row r="22" spans="1:43" ht="26.1" customHeight="1" thickBot="1">
      <c r="A22" s="44"/>
      <c r="B22" s="44"/>
      <c r="C22" s="44"/>
      <c r="D22" s="44"/>
      <c r="E22" s="44"/>
      <c r="F22" s="44"/>
      <c r="G22" s="44"/>
      <c r="H22" s="144" t="s">
        <v>232</v>
      </c>
      <c r="I22" s="44"/>
      <c r="J22" s="44"/>
      <c r="K22" s="44"/>
      <c r="L22" s="282">
        <v>6</v>
      </c>
      <c r="M22" s="118" t="s">
        <v>105</v>
      </c>
      <c r="N22" s="124">
        <v>0</v>
      </c>
      <c r="O22" s="12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113"/>
      <c r="AA22" s="113"/>
      <c r="AB22" s="113"/>
      <c r="AC22" s="113">
        <f>SUM(AC6:AC21)</f>
        <v>0</v>
      </c>
      <c r="AD22" s="113">
        <f>SUM(AD6:AD21)</f>
        <v>0</v>
      </c>
      <c r="AE22" s="113">
        <f>SUM(AE6:AE21)</f>
        <v>0</v>
      </c>
      <c r="AF22" s="113">
        <f>SUM(AF6:AF21)</f>
        <v>0</v>
      </c>
      <c r="AG22" s="113">
        <f>SUM(AG6:AG21)</f>
        <v>0</v>
      </c>
      <c r="AH22" s="113"/>
      <c r="AI22" s="113"/>
      <c r="AJ22" s="113"/>
      <c r="AK22" s="113"/>
      <c r="AL22" s="113"/>
      <c r="AQ22"/>
    </row>
    <row r="23" spans="1:43" ht="24" customHeight="1" thickBot="1">
      <c r="A23" s="44"/>
      <c r="B23" s="421" t="s">
        <v>119</v>
      </c>
      <c r="C23" s="44"/>
      <c r="D23" s="44"/>
      <c r="E23" s="44"/>
      <c r="F23" s="47"/>
      <c r="G23" s="47"/>
      <c r="H23" s="47"/>
      <c r="I23" s="44"/>
      <c r="J23" s="47"/>
      <c r="K23" s="44"/>
      <c r="L23" s="44"/>
      <c r="M23" s="44"/>
      <c r="N23" s="113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N23" s="61"/>
    </row>
    <row r="24" spans="1:43" ht="24" customHeight="1" thickBot="1">
      <c r="A24" s="44"/>
      <c r="B24" s="648" t="s">
        <v>45</v>
      </c>
      <c r="C24" s="44"/>
      <c r="D24" s="44"/>
      <c r="E24" s="44"/>
      <c r="F24" s="47"/>
      <c r="G24" s="47"/>
      <c r="H24" s="273"/>
      <c r="I24" s="135">
        <f>SUM(I6:I23)</f>
        <v>3</v>
      </c>
      <c r="J24" s="135"/>
      <c r="K24" s="135"/>
      <c r="L24" s="135"/>
      <c r="M24" s="135"/>
      <c r="N24" s="131">
        <f>SUM(N6:N22)</f>
        <v>0.5</v>
      </c>
      <c r="O24" s="135"/>
      <c r="P24" s="135"/>
      <c r="Q24" s="135"/>
      <c r="R24" s="135"/>
      <c r="S24" s="135">
        <f>SUM(S6:S21)</f>
        <v>0</v>
      </c>
      <c r="T24" s="135"/>
      <c r="U24" s="135"/>
      <c r="V24" s="135"/>
      <c r="W24" s="135"/>
      <c r="X24" s="270">
        <f>SUM(X7:X20)</f>
        <v>0</v>
      </c>
      <c r="Y24" s="13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271">
        <f>SUM(I24:Z24)</f>
        <v>3.5</v>
      </c>
      <c r="AL24" s="272">
        <f>SUM(AL6:AL21)</f>
        <v>0</v>
      </c>
    </row>
    <row r="25" spans="1:43" ht="19.5" thickBot="1">
      <c r="A25" s="44"/>
      <c r="C25" s="44"/>
      <c r="D25" s="44"/>
      <c r="E25" s="44"/>
      <c r="F25" s="44"/>
      <c r="G25" s="44"/>
      <c r="H25" s="44"/>
    </row>
    <row r="26" spans="1:43" ht="19.5" thickBot="1">
      <c r="B26" s="44"/>
      <c r="C26" s="44"/>
      <c r="I26" s="44">
        <v>45</v>
      </c>
      <c r="J26" s="44"/>
      <c r="K26" s="44"/>
      <c r="L26" s="44"/>
      <c r="M26" s="44"/>
      <c r="N26" s="44">
        <v>11.5</v>
      </c>
      <c r="O26" s="44"/>
      <c r="P26" s="44"/>
      <c r="Q26" s="44"/>
      <c r="R26" s="44"/>
      <c r="S26" s="44">
        <v>8</v>
      </c>
      <c r="T26" s="44"/>
      <c r="U26" s="44"/>
      <c r="V26" s="44"/>
      <c r="W26" s="44"/>
      <c r="X26" s="44">
        <v>4</v>
      </c>
      <c r="AK26" s="486">
        <f>SUM(I26:X26)</f>
        <v>68.5</v>
      </c>
    </row>
    <row r="28" spans="1:43" ht="15.75">
      <c r="F28" s="41"/>
      <c r="G28" s="41"/>
      <c r="H28" s="41"/>
    </row>
    <row r="29" spans="1:43" ht="15.75">
      <c r="F29" s="41"/>
      <c r="G29" s="41"/>
      <c r="H29" s="41"/>
    </row>
    <row r="30" spans="1:43" ht="15.75">
      <c r="F30" s="41"/>
    </row>
    <row r="35" spans="2:5" ht="18.75">
      <c r="B35" s="44"/>
      <c r="C35" s="44" t="s">
        <v>41</v>
      </c>
      <c r="D35" s="44"/>
    </row>
    <row r="36" spans="2:5" ht="18.75">
      <c r="B36" s="144" t="s">
        <v>42</v>
      </c>
      <c r="C36" s="214" t="s">
        <v>101</v>
      </c>
      <c r="D36" s="44"/>
    </row>
    <row r="37" spans="2:5" ht="18.75">
      <c r="B37" s="145" t="s">
        <v>43</v>
      </c>
      <c r="C37" s="214" t="s">
        <v>102</v>
      </c>
      <c r="D37" s="41"/>
    </row>
    <row r="38" spans="2:5" ht="18.75">
      <c r="E38" s="44"/>
    </row>
  </sheetData>
  <sheetProtection password="CFC3" sheet="1" objects="1" scenarios="1" formatCells="0" formatColumns="0" formatRows="0" insertColumns="0" insertRows="0" insertHyperlinks="0" deleteColumns="0" deleteRows="0" sort="0"/>
  <mergeCells count="3">
    <mergeCell ref="AK4:AL4"/>
    <mergeCell ref="AB4:AG4"/>
    <mergeCell ref="AO4:AQ4"/>
  </mergeCells>
  <conditionalFormatting sqref="AJ6:AJ21">
    <cfRule type="duplicateValues" dxfId="7" priority="1"/>
  </conditionalFormatting>
  <pageMargins left="0.16" right="0.19" top="0.25" bottom="0.31" header="0.14000000000000001" footer="0.2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AQ35"/>
  <sheetViews>
    <sheetView zoomScale="60" zoomScaleNormal="60" zoomScaleSheetLayoutView="70" workbookViewId="0">
      <selection activeCell="Q24" sqref="Q24"/>
    </sheetView>
  </sheetViews>
  <sheetFormatPr baseColWidth="10" defaultRowHeight="24.95" customHeight="1"/>
  <cols>
    <col min="1" max="1" width="7.85546875" style="161" customWidth="1"/>
    <col min="2" max="2" width="29.5703125" style="161" customWidth="1"/>
    <col min="3" max="3" width="21.85546875" style="161" customWidth="1"/>
    <col min="4" max="4" width="11.28515625" style="161" customWidth="1"/>
    <col min="5" max="5" width="5.5703125" style="161" customWidth="1"/>
    <col min="6" max="6" width="9.42578125" style="161" customWidth="1"/>
    <col min="7" max="7" width="8" style="161" hidden="1" customWidth="1"/>
    <col min="8" max="8" width="26.5703125" style="161" customWidth="1"/>
    <col min="9" max="9" width="7.85546875" style="161" hidden="1" customWidth="1"/>
    <col min="10" max="10" width="7.5703125" style="161" customWidth="1"/>
    <col min="11" max="11" width="6.5703125" style="161" customWidth="1"/>
    <col min="12" max="12" width="10.5703125" style="161" customWidth="1"/>
    <col min="13" max="13" width="28.42578125" style="161" customWidth="1"/>
    <col min="14" max="14" width="7.42578125" style="161" hidden="1" customWidth="1"/>
    <col min="15" max="15" width="8.5703125" style="161" customWidth="1"/>
    <col min="16" max="16" width="6.28515625" style="161" customWidth="1"/>
    <col min="17" max="17" width="11.140625" style="161" customWidth="1"/>
    <col min="18" max="18" width="27.42578125" style="161" customWidth="1"/>
    <col min="19" max="19" width="7.140625" style="161" hidden="1" customWidth="1"/>
    <col min="20" max="20" width="8.5703125" style="161" customWidth="1"/>
    <col min="21" max="21" width="5.140625" style="161" customWidth="1"/>
    <col min="22" max="22" width="6.7109375" style="161" customWidth="1"/>
    <col min="23" max="23" width="26.7109375" style="161" customWidth="1"/>
    <col min="24" max="24" width="6.7109375" style="161" hidden="1" customWidth="1"/>
    <col min="25" max="25" width="7.7109375" style="161" customWidth="1"/>
    <col min="26" max="26" width="6" style="161" customWidth="1"/>
    <col min="27" max="27" width="7.42578125" style="161" hidden="1" customWidth="1"/>
    <col min="28" max="28" width="19.7109375" style="161" hidden="1" customWidth="1"/>
    <col min="29" max="32" width="8.7109375" style="161" hidden="1" customWidth="1"/>
    <col min="33" max="33" width="8.85546875" style="161" hidden="1" customWidth="1"/>
    <col min="34" max="34" width="7.85546875" style="161" hidden="1" customWidth="1"/>
    <col min="35" max="35" width="11" style="161" hidden="1" customWidth="1"/>
    <col min="36" max="36" width="13.85546875" style="161" customWidth="1"/>
    <col min="37" max="37" width="38" style="161" customWidth="1"/>
    <col min="38" max="38" width="15.7109375" style="161" customWidth="1"/>
    <col min="39" max="39" width="9.28515625" style="161" customWidth="1"/>
    <col min="40" max="40" width="29.140625" style="161" customWidth="1"/>
    <col min="41" max="41" width="11.140625" style="161" customWidth="1"/>
    <col min="42" max="42" width="46.42578125" style="161" customWidth="1"/>
    <col min="43" max="43" width="16.5703125" style="161" customWidth="1"/>
    <col min="44" max="44" width="6.28515625" style="161" customWidth="1"/>
    <col min="45" max="45" width="40.7109375" style="161" customWidth="1"/>
    <col min="46" max="46" width="28.5703125" style="161" customWidth="1"/>
    <col min="47" max="16384" width="11.42578125" style="161"/>
  </cols>
  <sheetData>
    <row r="1" spans="1:43" s="415" customFormat="1" ht="39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R1" s="412" t="s">
        <v>138</v>
      </c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2"/>
    </row>
    <row r="2" spans="1:43" ht="26.1" customHeight="1" thickBot="1">
      <c r="A2" s="44"/>
      <c r="B2" s="357" t="s">
        <v>61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R2" s="44"/>
      <c r="S2" s="44"/>
      <c r="T2" s="44"/>
      <c r="U2" s="44"/>
      <c r="V2" s="113"/>
      <c r="W2" s="113"/>
      <c r="X2" s="44"/>
      <c r="Y2" s="44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44"/>
    </row>
    <row r="3" spans="1:43" ht="26.1" customHeight="1" thickBot="1">
      <c r="A3" s="44"/>
      <c r="B3" s="44"/>
      <c r="C3" s="44"/>
      <c r="D3" s="44"/>
      <c r="E3" s="44"/>
      <c r="F3" s="44"/>
      <c r="G3" s="44"/>
      <c r="H3" s="44"/>
      <c r="I3" s="44"/>
      <c r="J3" s="47"/>
      <c r="K3" s="47"/>
      <c r="L3" s="47"/>
      <c r="M3" s="47"/>
      <c r="N3" s="61"/>
      <c r="O3" s="44"/>
      <c r="P3" s="44"/>
      <c r="Q3" s="44"/>
      <c r="R3" s="44"/>
      <c r="S3" s="44"/>
      <c r="T3" s="47"/>
      <c r="U3" s="47"/>
      <c r="V3" s="47"/>
      <c r="W3" s="47"/>
      <c r="X3" s="47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  <c r="AM3" s="113"/>
    </row>
    <row r="4" spans="1:43" ht="26.1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 s="766" t="s">
        <v>129</v>
      </c>
      <c r="AL4" s="767"/>
      <c r="AM4" s="113"/>
      <c r="AO4" s="769" t="s">
        <v>113</v>
      </c>
      <c r="AP4" s="770"/>
      <c r="AQ4" s="771"/>
    </row>
    <row r="5" spans="1:43" ht="26.1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405" t="s">
        <v>108</v>
      </c>
      <c r="J5" s="44" t="s">
        <v>107</v>
      </c>
      <c r="K5" s="44"/>
      <c r="L5" s="44"/>
      <c r="M5" s="44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405" t="s">
        <v>108</v>
      </c>
      <c r="T5" s="44" t="s">
        <v>107</v>
      </c>
      <c r="U5" s="44"/>
      <c r="V5" s="44"/>
      <c r="W5" s="44"/>
      <c r="X5" s="44"/>
      <c r="Y5" s="44"/>
      <c r="Z5" s="113"/>
      <c r="AA5" s="113"/>
      <c r="AB5" s="151" t="s">
        <v>111</v>
      </c>
      <c r="AC5" s="304" t="s">
        <v>189</v>
      </c>
      <c r="AD5" s="304" t="s">
        <v>190</v>
      </c>
      <c r="AE5" s="304" t="s">
        <v>191</v>
      </c>
      <c r="AF5" s="151" t="s">
        <v>227</v>
      </c>
      <c r="AG5" s="151" t="s">
        <v>193</v>
      </c>
      <c r="AH5" s="141" t="s">
        <v>109</v>
      </c>
      <c r="AI5" s="489" t="s">
        <v>110</v>
      </c>
      <c r="AJ5" s="433" t="s">
        <v>238</v>
      </c>
      <c r="AK5" s="366" t="s">
        <v>111</v>
      </c>
      <c r="AL5" s="366" t="s">
        <v>192</v>
      </c>
      <c r="AM5" s="113"/>
      <c r="AN5" s="238" t="s">
        <v>12</v>
      </c>
      <c r="AO5" s="501" t="s">
        <v>56</v>
      </c>
      <c r="AP5" s="239" t="s">
        <v>241</v>
      </c>
      <c r="AQ5" s="239" t="s">
        <v>16</v>
      </c>
    </row>
    <row r="6" spans="1:43" ht="26.1" customHeight="1" thickBot="1">
      <c r="A6" s="87">
        <v>1</v>
      </c>
      <c r="B6" s="555"/>
      <c r="C6" s="556"/>
      <c r="D6" s="89"/>
      <c r="E6" s="44"/>
      <c r="F6" s="573" t="s">
        <v>2</v>
      </c>
      <c r="G6" s="475">
        <v>1</v>
      </c>
      <c r="H6" s="182" t="str">
        <f>IF(ISNA(MATCH(G6,$D$6:$D$21,0)),"",INDEX($B$6:$B$21,MATCH(G6,$D$6:$D$21,0)))</f>
        <v/>
      </c>
      <c r="I6" s="125">
        <f>IF(J6=J7,0,IF(J6&lt;J7,2,4))</f>
        <v>0</v>
      </c>
      <c r="J6" s="576"/>
      <c r="K6" s="44"/>
      <c r="L6" s="570" t="s">
        <v>2</v>
      </c>
      <c r="M6" s="519" t="str">
        <f>IF(J6=J7,"Gagnant du 1",IF(J6&gt;J7,H6,H7))</f>
        <v>Gagnant du 1</v>
      </c>
      <c r="N6" s="441">
        <f>IF(O6=O7,0,IF(O6&lt;O7,0,2))</f>
        <v>0</v>
      </c>
      <c r="O6" s="576"/>
      <c r="P6" s="44"/>
      <c r="Q6" s="570" t="s">
        <v>2</v>
      </c>
      <c r="R6" s="528" t="str">
        <f>IF(O6=O7,"Gagnant du 3",IF(O6&gt;O7,M6,M7))</f>
        <v>Gagnant du 3</v>
      </c>
      <c r="S6" s="441">
        <f>IF(T6=T7,0,IF(T6&lt;T7,0,2))</f>
        <v>0</v>
      </c>
      <c r="T6" s="576"/>
      <c r="U6" s="44"/>
      <c r="V6" s="44"/>
      <c r="W6" s="370" t="s">
        <v>9</v>
      </c>
      <c r="X6" s="405" t="s">
        <v>108</v>
      </c>
      <c r="Y6" s="44" t="s">
        <v>107</v>
      </c>
      <c r="Z6" s="113"/>
      <c r="AA6" s="136">
        <v>1</v>
      </c>
      <c r="AB6" s="439">
        <f>+B6</f>
        <v>0</v>
      </c>
      <c r="AC6" s="154" t="str">
        <f>IF(ISNA(VLOOKUP(AB6,$H$6:$I$21,2,0)),"",VLOOKUP(AB6,$H$6:$I$21,2,0))</f>
        <v/>
      </c>
      <c r="AD6" s="211" t="str">
        <f>IF(ISNA(VLOOKUP(AB6,$M$6:$N$22,2,0)),"",VLOOKUP(AB6,$M$6:$N$22,2,0))</f>
        <v/>
      </c>
      <c r="AE6" s="211" t="str">
        <f>IF(ISNA(VLOOKUP(AB6,$R$6:$S$22,2,0)),"",VLOOKUP(AB6,$R$6:$S$22,2,0))</f>
        <v/>
      </c>
      <c r="AF6" s="211" t="str">
        <f>IF(ISNA(VLOOKUP(AB6,$W$7:$X$20,2,0)),"",VLOOKUP(AB6,$W$7:$X$20,2,0))</f>
        <v/>
      </c>
      <c r="AG6" s="541">
        <f t="shared" ref="AG6:AG21" si="0">SUM(AC6:AF6)</f>
        <v>0</v>
      </c>
      <c r="AH6" s="319">
        <f t="shared" ref="AH6:AH21" si="1">IF(OR(AB6="",AG6=""),"",RANK(AG6,$AG$6:$AG$21)+COUNTIF(AB$6:AB$21,"&lt;="&amp;AB6+1)/10000+ROW()/100000)</f>
        <v>1.00166</v>
      </c>
      <c r="AI6" s="564">
        <f>IF(AB6="","",(SMALL(AH$6:AH$21,ROWS(AL$6:AL6))))</f>
        <v>1.00166</v>
      </c>
      <c r="AJ6" s="651">
        <f>IF(AI6="","",1)</f>
        <v>1</v>
      </c>
      <c r="AK6" s="452">
        <f t="shared" ref="AK6:AK21" si="2">IF(OR(AB6="",AG6=""),"",INDEX($AB$6:$AB$23,MATCH(AI6,$AH$6:$AH$23,0)))</f>
        <v>0</v>
      </c>
      <c r="AL6" s="565">
        <f>IF(AG6="","",INDEX($AG$6:$AG$23,MATCH(AI6,$AH$6:$AH$23,0)))</f>
        <v>0</v>
      </c>
      <c r="AM6"/>
      <c r="AN6" s="585" t="s">
        <v>115</v>
      </c>
      <c r="AO6" s="240">
        <v>2</v>
      </c>
      <c r="AP6" s="241" t="s">
        <v>242</v>
      </c>
      <c r="AQ6" s="581">
        <v>10</v>
      </c>
    </row>
    <row r="7" spans="1:43" ht="26.1" customHeight="1" thickBot="1">
      <c r="A7" s="94">
        <v>2</v>
      </c>
      <c r="B7" s="557"/>
      <c r="C7" s="558"/>
      <c r="D7" s="96"/>
      <c r="E7" s="44"/>
      <c r="F7" s="574">
        <v>1</v>
      </c>
      <c r="G7" s="476">
        <v>2</v>
      </c>
      <c r="H7" s="198" t="str">
        <f t="shared" ref="H7:H21" si="3">IF(ISNA(MATCH(G7,$D$6:$D$21,0)),"",INDEX($B$6:$B$21,MATCH(G7,$D$6:$D$21,0)))</f>
        <v/>
      </c>
      <c r="I7" s="129">
        <f>IF(J6=J7,0,IF(J6&gt;J7,2,4))</f>
        <v>0</v>
      </c>
      <c r="J7" s="577"/>
      <c r="K7" s="44"/>
      <c r="L7" s="571">
        <v>3</v>
      </c>
      <c r="M7" s="520" t="str">
        <f>IF(J8=J9,"Gagnant du 2",IF(J8&gt;J9,H8,H9))</f>
        <v>Gagnant du 2</v>
      </c>
      <c r="N7" s="130">
        <f>IF(O6=O7,0,IF(O6&gt;O7,0,2))</f>
        <v>0</v>
      </c>
      <c r="O7" s="577"/>
      <c r="P7" s="44"/>
      <c r="Q7" s="571">
        <v>6</v>
      </c>
      <c r="R7" s="521" t="str">
        <f>IF(O8=O9,"Gagnant du 5",IF(O8&gt;O9,M8,M9))</f>
        <v>Gagnant du 5</v>
      </c>
      <c r="S7" s="130">
        <f>IF(T6=T7,0,IF(T6&gt;T7,0,2))</f>
        <v>0</v>
      </c>
      <c r="T7" s="577"/>
      <c r="U7" s="44"/>
      <c r="V7" s="570" t="s">
        <v>2</v>
      </c>
      <c r="W7" s="528" t="str">
        <f>IF(T6=T7,"Gagnant du 6",IF(T6&gt;T7,R6,R7))</f>
        <v>Gagnant du 6</v>
      </c>
      <c r="X7" s="441">
        <f>IF(Y7=Y8,0,IF(Y7&lt;Y8,0,2))</f>
        <v>0</v>
      </c>
      <c r="Y7" s="576"/>
      <c r="Z7" s="61"/>
      <c r="AA7" s="137">
        <v>2</v>
      </c>
      <c r="AB7" s="440">
        <f>+B7</f>
        <v>0</v>
      </c>
      <c r="AC7" s="155" t="str">
        <f t="shared" ref="AC7:AC21" si="4">IF(ISNA(VLOOKUP(AB7,$H$6:$I$21,2,0)),"",VLOOKUP(AB7,$H$6:$I$21,2,0))</f>
        <v/>
      </c>
      <c r="AD7" s="210" t="str">
        <f t="shared" ref="AD7:AD21" si="5">IF(ISNA(VLOOKUP(AB7,$M$6:$N$22,2,0)),"",VLOOKUP(AB7,$M$6:$N$22,2,0))</f>
        <v/>
      </c>
      <c r="AE7" s="210" t="str">
        <f>IF(ISNA(VLOOKUP(AB7,$R$6:$S$22,2,0)),"",VLOOKUP(AB7,$R$6:$S$22,2,0))</f>
        <v/>
      </c>
      <c r="AF7" s="210" t="str">
        <f t="shared" ref="AF7:AF21" si="6">IF(ISNA(VLOOKUP(AB7,$W$7:$X$20,2,0)),"",VLOOKUP(AB7,$W$7:$X$20,2,0))</f>
        <v/>
      </c>
      <c r="AG7" s="537">
        <f t="shared" si="0"/>
        <v>0</v>
      </c>
      <c r="AH7" s="319">
        <f t="shared" si="1"/>
        <v>1.0016700000000001</v>
      </c>
      <c r="AI7" s="564">
        <f>IF(AB7="","",(SMALL(AH$6:AH$21,ROWS(AL$6:AL7))))</f>
        <v>1.0016700000000001</v>
      </c>
      <c r="AJ7" s="652">
        <f>IF(AI7="","",IF(AND(AL6=AL7),$AJ6,$AJ$6+1))</f>
        <v>1</v>
      </c>
      <c r="AK7" s="562">
        <f t="shared" si="2"/>
        <v>0</v>
      </c>
      <c r="AL7" s="467">
        <f t="shared" ref="AL7:AL21" si="7">IF(AG7="","",INDEX($AG$6:$AG$23,MATCH(AI7,$AH$6:$AH$23,0)))</f>
        <v>0</v>
      </c>
      <c r="AM7"/>
      <c r="AN7" s="586" t="s">
        <v>15</v>
      </c>
      <c r="AO7" s="242">
        <v>2</v>
      </c>
      <c r="AP7" s="243" t="s">
        <v>243</v>
      </c>
      <c r="AQ7" s="582">
        <v>8</v>
      </c>
    </row>
    <row r="8" spans="1:43" ht="26.1" customHeight="1" thickBot="1">
      <c r="A8" s="94">
        <v>3</v>
      </c>
      <c r="B8" s="559"/>
      <c r="C8" s="560"/>
      <c r="D8" s="96"/>
      <c r="E8" s="44"/>
      <c r="F8" s="573" t="s">
        <v>2</v>
      </c>
      <c r="G8" s="475">
        <v>3</v>
      </c>
      <c r="H8" s="202" t="str">
        <f t="shared" si="3"/>
        <v/>
      </c>
      <c r="I8" s="125">
        <f>IF(J8=J9,0,IF(J8&lt;J9,2,4))</f>
        <v>0</v>
      </c>
      <c r="J8" s="576"/>
      <c r="K8" s="47"/>
      <c r="L8" s="570" t="s">
        <v>2</v>
      </c>
      <c r="M8" s="521" t="str">
        <f>IF(J10=J11,"Gagnant du 3",IF(J10&gt;J11,H10,H11))</f>
        <v>Gagnant du 3</v>
      </c>
      <c r="N8" s="172">
        <f>IF(O8=O9,0,IF(O8&lt;O9,0,2))</f>
        <v>0</v>
      </c>
      <c r="O8" s="576"/>
      <c r="P8" s="47"/>
      <c r="Q8" s="570" t="s">
        <v>2</v>
      </c>
      <c r="R8" s="528" t="str">
        <f>IF(O12=O13,"Gagnant du 1",IF(O12&gt;O13,M12,M13))</f>
        <v>Gagnant du 1</v>
      </c>
      <c r="S8" s="172">
        <f>IF(T8=T9,0,IF(T8&lt;T9,0,2))</f>
        <v>0</v>
      </c>
      <c r="T8" s="576"/>
      <c r="U8" s="47"/>
      <c r="V8" s="571">
        <v>4</v>
      </c>
      <c r="W8" s="520" t="str">
        <f>IF(T8=T9,"Gagnant du 2",IF(T8&gt;T9,R8,R9))</f>
        <v>Gagnant du 2</v>
      </c>
      <c r="X8" s="130">
        <f>IF(Y7=Y8,0,IF(Y7&gt;Y8,0,2))</f>
        <v>0</v>
      </c>
      <c r="Y8" s="577"/>
      <c r="Z8" s="61"/>
      <c r="AA8" s="137">
        <v>3</v>
      </c>
      <c r="AB8" s="440">
        <f t="shared" ref="AB8:AB21" si="8">+B8</f>
        <v>0</v>
      </c>
      <c r="AC8" s="155" t="str">
        <f t="shared" si="4"/>
        <v/>
      </c>
      <c r="AD8" s="210" t="str">
        <f t="shared" si="5"/>
        <v/>
      </c>
      <c r="AE8" s="210" t="str">
        <f t="shared" ref="AE8:AE21" si="9">IF(ISNA(VLOOKUP(AB8,$R$6:$S$22,2,0)),"",VLOOKUP(AB8,$R$6:$S$22,2,0))</f>
        <v/>
      </c>
      <c r="AF8" s="210" t="str">
        <f t="shared" si="6"/>
        <v/>
      </c>
      <c r="AG8" s="537">
        <f t="shared" si="0"/>
        <v>0</v>
      </c>
      <c r="AH8" s="319">
        <f t="shared" si="1"/>
        <v>1.0016800000000001</v>
      </c>
      <c r="AI8" s="564">
        <f>IF(AB8="","",(SMALL(AH$6:AH$21,ROWS(AL$6:AL8))))</f>
        <v>1.0016800000000001</v>
      </c>
      <c r="AJ8" s="652">
        <f>IF(AI8="","",IF(AND(AL7=AL8),$AJ7,$AJ$6+2))</f>
        <v>1</v>
      </c>
      <c r="AK8" s="562">
        <f t="shared" si="2"/>
        <v>0</v>
      </c>
      <c r="AL8" s="467">
        <f t="shared" si="7"/>
        <v>0</v>
      </c>
      <c r="AM8"/>
      <c r="AN8" s="586" t="s">
        <v>114</v>
      </c>
      <c r="AO8" s="242">
        <v>2</v>
      </c>
      <c r="AP8" s="243" t="s">
        <v>244</v>
      </c>
      <c r="AQ8" s="582">
        <v>6</v>
      </c>
    </row>
    <row r="9" spans="1:43" ht="26.1" customHeight="1" thickBot="1">
      <c r="A9" s="94">
        <v>4</v>
      </c>
      <c r="B9" s="557"/>
      <c r="C9" s="558"/>
      <c r="D9" s="96"/>
      <c r="E9" s="44"/>
      <c r="F9" s="574">
        <v>2</v>
      </c>
      <c r="G9" s="476">
        <v>4</v>
      </c>
      <c r="H9" s="203" t="str">
        <f t="shared" si="3"/>
        <v/>
      </c>
      <c r="I9" s="129">
        <f>IF(J8=J9,0,IF(J8&gt;J9,2,4))</f>
        <v>0</v>
      </c>
      <c r="J9" s="577"/>
      <c r="K9" s="44"/>
      <c r="L9" s="571">
        <v>5</v>
      </c>
      <c r="M9" s="520" t="str">
        <f>IF(J12=J13,"Gagnant du 4",IF(J12&gt;J13,H12,H13))</f>
        <v>Gagnant du 4</v>
      </c>
      <c r="N9" s="130">
        <f>IF(O8=O9,0,IF(O8&gt;O9,0,2))</f>
        <v>0</v>
      </c>
      <c r="O9" s="577"/>
      <c r="P9" s="44"/>
      <c r="Q9" s="571">
        <v>2</v>
      </c>
      <c r="R9" s="520" t="str">
        <f>IF(O10=O1,"Gagnant du 7",IF(O10&gt;O11,M10,M11))</f>
        <v>Gagnant du 7</v>
      </c>
      <c r="S9" s="130">
        <f>IF(T8=T9,0,IF(T8&gt;T9,0,2))</f>
        <v>0</v>
      </c>
      <c r="T9" s="577"/>
      <c r="U9" s="44"/>
      <c r="V9" s="44"/>
      <c r="W9" s="131"/>
      <c r="X9" s="131"/>
      <c r="Y9" s="44"/>
      <c r="Z9" s="113"/>
      <c r="AA9" s="137">
        <v>4</v>
      </c>
      <c r="AB9" s="440">
        <f t="shared" si="8"/>
        <v>0</v>
      </c>
      <c r="AC9" s="155" t="str">
        <f t="shared" si="4"/>
        <v/>
      </c>
      <c r="AD9" s="210" t="str">
        <f t="shared" si="5"/>
        <v/>
      </c>
      <c r="AE9" s="210" t="str">
        <f t="shared" si="9"/>
        <v/>
      </c>
      <c r="AF9" s="210" t="str">
        <f t="shared" si="6"/>
        <v/>
      </c>
      <c r="AG9" s="561">
        <f t="shared" si="0"/>
        <v>0</v>
      </c>
      <c r="AH9" s="319">
        <f t="shared" si="1"/>
        <v>1.00169</v>
      </c>
      <c r="AI9" s="564">
        <f>IF(AB9="","",(SMALL(AH$6:AH$21,ROWS(AL$6:AL9))))</f>
        <v>1.00169</v>
      </c>
      <c r="AJ9" s="652">
        <f>IF(AI9="","",IF(AND(AL8=AL9),$AJ8,$AJ$6+3))</f>
        <v>1</v>
      </c>
      <c r="AK9" s="562">
        <f t="shared" si="2"/>
        <v>0</v>
      </c>
      <c r="AL9" s="467">
        <f t="shared" si="7"/>
        <v>0</v>
      </c>
      <c r="AM9"/>
      <c r="AN9" s="586" t="s">
        <v>114</v>
      </c>
      <c r="AO9" s="250">
        <v>2</v>
      </c>
      <c r="AP9" s="247" t="s">
        <v>244</v>
      </c>
      <c r="AQ9" s="583">
        <v>6</v>
      </c>
    </row>
    <row r="10" spans="1:43" ht="26.1" customHeight="1">
      <c r="A10" s="94">
        <v>5</v>
      </c>
      <c r="B10" s="559"/>
      <c r="C10" s="560"/>
      <c r="D10" s="96"/>
      <c r="E10" s="44"/>
      <c r="F10" s="573" t="s">
        <v>2</v>
      </c>
      <c r="G10" s="475">
        <v>5</v>
      </c>
      <c r="H10" s="182" t="str">
        <f>IF(ISNA(MATCH(G10,$D$6:$D$21,0)),"",INDEX($B$6:$B$21,MATCH(G10,$D$6:$D$21,0)))</f>
        <v/>
      </c>
      <c r="I10" s="125">
        <f>IF(J10=J11,0,IF(J10&lt;J11,2,4))</f>
        <v>0</v>
      </c>
      <c r="J10" s="576"/>
      <c r="K10" s="44"/>
      <c r="L10" s="570" t="s">
        <v>2</v>
      </c>
      <c r="M10" s="521" t="str">
        <f>IF(J14=J15,"Gagnant du 5",IF(J14&gt;J15,H14,H15))</f>
        <v>Gagnant du 5</v>
      </c>
      <c r="N10" s="172">
        <f>IF(O10=O11,0,IF(O10&lt;O11,0,2))</f>
        <v>0</v>
      </c>
      <c r="O10" s="576"/>
      <c r="P10" s="44"/>
      <c r="Q10" s="44"/>
      <c r="R10" s="131"/>
      <c r="S10" s="131"/>
      <c r="T10" s="44"/>
      <c r="U10" s="44"/>
      <c r="V10" s="44"/>
      <c r="W10" s="131"/>
      <c r="X10" s="131"/>
      <c r="Y10" s="44"/>
      <c r="Z10" s="113"/>
      <c r="AA10" s="137">
        <v>5</v>
      </c>
      <c r="AB10" s="440">
        <f t="shared" si="8"/>
        <v>0</v>
      </c>
      <c r="AC10" s="155" t="str">
        <f t="shared" si="4"/>
        <v/>
      </c>
      <c r="AD10" s="210" t="str">
        <f t="shared" si="5"/>
        <v/>
      </c>
      <c r="AE10" s="210" t="str">
        <f t="shared" si="9"/>
        <v/>
      </c>
      <c r="AF10" s="210" t="str">
        <f t="shared" si="6"/>
        <v/>
      </c>
      <c r="AG10" s="561">
        <f t="shared" si="0"/>
        <v>0</v>
      </c>
      <c r="AH10" s="319">
        <f t="shared" si="1"/>
        <v>1.0017</v>
      </c>
      <c r="AI10" s="564">
        <f>IF(AB10="","",(SMALL(AH$6:AH$21,ROWS(AL$6:AL10))))</f>
        <v>1.0017</v>
      </c>
      <c r="AJ10" s="652">
        <f>IF(AI10="","",IF(AND(AL9=AL10),$AJ9,$AJ$6+4))</f>
        <v>1</v>
      </c>
      <c r="AK10" s="562">
        <f t="shared" si="2"/>
        <v>0</v>
      </c>
      <c r="AL10" s="467">
        <f t="shared" si="7"/>
        <v>0</v>
      </c>
      <c r="AM10"/>
      <c r="AN10" s="483" t="s">
        <v>118</v>
      </c>
      <c r="AO10" s="240">
        <v>2</v>
      </c>
      <c r="AP10" s="245" t="s">
        <v>247</v>
      </c>
      <c r="AQ10" s="543">
        <v>6</v>
      </c>
    </row>
    <row r="11" spans="1:43" ht="26.1" customHeight="1" thickBot="1">
      <c r="A11" s="94">
        <v>6</v>
      </c>
      <c r="B11" s="557"/>
      <c r="C11" s="558"/>
      <c r="D11" s="96"/>
      <c r="E11" s="44"/>
      <c r="F11" s="574">
        <v>3</v>
      </c>
      <c r="G11" s="476">
        <v>6</v>
      </c>
      <c r="H11" s="198" t="str">
        <f t="shared" si="3"/>
        <v/>
      </c>
      <c r="I11" s="129">
        <f>IF(J10=J11,0,IF(J10&gt;J11,2,4))</f>
        <v>0</v>
      </c>
      <c r="J11" s="577"/>
      <c r="K11" s="47"/>
      <c r="L11" s="571">
        <v>7</v>
      </c>
      <c r="M11" s="520" t="str">
        <f>IF(J16=J17,"Gagnant du 6",IF(J16&gt;J17,H16,H17))</f>
        <v>Gagnant du 6</v>
      </c>
      <c r="N11" s="130">
        <f>IF(O10=O11,0,IF(O10&gt;O11,0,2))</f>
        <v>0</v>
      </c>
      <c r="O11" s="577"/>
      <c r="P11" s="47"/>
      <c r="Q11" s="44"/>
      <c r="R11" s="167" t="s">
        <v>51</v>
      </c>
      <c r="S11" s="167"/>
      <c r="T11" s="44"/>
      <c r="U11" s="47"/>
      <c r="V11" s="47"/>
      <c r="W11" s="147"/>
      <c r="X11" s="147"/>
      <c r="Y11" s="47"/>
      <c r="Z11" s="61"/>
      <c r="AA11" s="137">
        <v>6</v>
      </c>
      <c r="AB11" s="440">
        <f t="shared" si="8"/>
        <v>0</v>
      </c>
      <c r="AC11" s="155" t="str">
        <f t="shared" si="4"/>
        <v/>
      </c>
      <c r="AD11" s="210" t="str">
        <f t="shared" si="5"/>
        <v/>
      </c>
      <c r="AE11" s="210" t="str">
        <f t="shared" si="9"/>
        <v/>
      </c>
      <c r="AF11" s="210" t="str">
        <f t="shared" si="6"/>
        <v/>
      </c>
      <c r="AG11" s="561">
        <f t="shared" si="0"/>
        <v>0</v>
      </c>
      <c r="AH11" s="319">
        <f t="shared" si="1"/>
        <v>1.0017100000000001</v>
      </c>
      <c r="AI11" s="564">
        <f>IF(AB11="","",(SMALL(AH$6:AH$21,ROWS(AL$6:AL11))))</f>
        <v>1.0017100000000001</v>
      </c>
      <c r="AJ11" s="652">
        <f>IF(AI11="","",IF(AND(AL10=AL11),$AJ10,$AJ$6+5))</f>
        <v>1</v>
      </c>
      <c r="AK11" s="562">
        <f t="shared" si="2"/>
        <v>0</v>
      </c>
      <c r="AL11" s="467">
        <f t="shared" si="7"/>
        <v>0</v>
      </c>
      <c r="AM11"/>
      <c r="AN11" s="487" t="s">
        <v>20</v>
      </c>
      <c r="AO11" s="242">
        <v>2</v>
      </c>
      <c r="AP11" s="243" t="s">
        <v>248</v>
      </c>
      <c r="AQ11" s="544">
        <v>5</v>
      </c>
    </row>
    <row r="12" spans="1:43" ht="26.1" customHeight="1" thickBot="1">
      <c r="A12" s="94">
        <v>7</v>
      </c>
      <c r="B12" s="559"/>
      <c r="C12" s="560"/>
      <c r="D12" s="96"/>
      <c r="E12" s="44"/>
      <c r="F12" s="573" t="s">
        <v>2</v>
      </c>
      <c r="G12" s="475">
        <v>7</v>
      </c>
      <c r="H12" s="202" t="str">
        <f t="shared" si="3"/>
        <v/>
      </c>
      <c r="I12" s="125">
        <f>IF(J12=J13,0,IF(J12&lt;J13,2,4))</f>
        <v>0</v>
      </c>
      <c r="J12" s="576"/>
      <c r="K12" s="44"/>
      <c r="L12" s="570" t="s">
        <v>2</v>
      </c>
      <c r="M12" s="521" t="str">
        <f>IF(J18=J19,"Gagnant du 7",IF(J18&gt;J19,H18,H19))</f>
        <v>Gagnant du 7</v>
      </c>
      <c r="N12" s="172">
        <f>IF(O12=O13,0,IF(O12&lt;O13,0,2))</f>
        <v>0</v>
      </c>
      <c r="O12" s="576"/>
      <c r="P12" s="44"/>
      <c r="Q12" s="522" t="s">
        <v>2</v>
      </c>
      <c r="R12" s="528" t="str">
        <f>IF(O17=O18,"Gagnant du 2",IF(O17&gt;O18,M17,M18))</f>
        <v>Gagnant du 2</v>
      </c>
      <c r="S12" s="172">
        <f>IF(T12=T13,0,IF(T12&lt;T13,0,1))</f>
        <v>0</v>
      </c>
      <c r="T12" s="631"/>
      <c r="U12" s="44"/>
      <c r="V12" s="44"/>
      <c r="W12" s="167" t="s">
        <v>10</v>
      </c>
      <c r="X12" s="167"/>
      <c r="Y12" s="44"/>
      <c r="Z12" s="113"/>
      <c r="AA12" s="137">
        <v>7</v>
      </c>
      <c r="AB12" s="440">
        <f t="shared" si="8"/>
        <v>0</v>
      </c>
      <c r="AC12" s="155" t="str">
        <f t="shared" si="4"/>
        <v/>
      </c>
      <c r="AD12" s="210" t="str">
        <f t="shared" si="5"/>
        <v/>
      </c>
      <c r="AE12" s="210" t="str">
        <f t="shared" si="9"/>
        <v/>
      </c>
      <c r="AF12" s="210" t="str">
        <f t="shared" si="6"/>
        <v/>
      </c>
      <c r="AG12" s="537">
        <f t="shared" si="0"/>
        <v>0</v>
      </c>
      <c r="AH12" s="319">
        <f t="shared" si="1"/>
        <v>1.0017199999999999</v>
      </c>
      <c r="AI12" s="564">
        <f>IF(AB12="","",(SMALL(AH$6:AH$21,ROWS(AL$6:AL12))))</f>
        <v>1.0017199999999999</v>
      </c>
      <c r="AJ12" s="652">
        <f>IF(AI12="","",IF(AND(AL11=AL12),$AJ11,$AJ$6+6))</f>
        <v>1</v>
      </c>
      <c r="AK12" s="562">
        <f t="shared" si="2"/>
        <v>0</v>
      </c>
      <c r="AL12" s="467">
        <f t="shared" si="7"/>
        <v>0</v>
      </c>
      <c r="AM12"/>
      <c r="AN12" s="487" t="s">
        <v>65</v>
      </c>
      <c r="AO12" s="242">
        <v>2</v>
      </c>
      <c r="AP12" s="243" t="s">
        <v>245</v>
      </c>
      <c r="AQ12" s="544">
        <v>4</v>
      </c>
    </row>
    <row r="13" spans="1:43" ht="26.1" customHeight="1" thickBot="1">
      <c r="A13" s="94">
        <v>8</v>
      </c>
      <c r="B13" s="557"/>
      <c r="C13" s="558"/>
      <c r="D13" s="96"/>
      <c r="E13" s="44"/>
      <c r="F13" s="574">
        <v>4</v>
      </c>
      <c r="G13" s="476">
        <v>8</v>
      </c>
      <c r="H13" s="203" t="str">
        <f t="shared" si="3"/>
        <v/>
      </c>
      <c r="I13" s="129">
        <f>IF(J12=J13,0,IF(J12&gt;J13,2,4))</f>
        <v>0</v>
      </c>
      <c r="J13" s="577"/>
      <c r="K13" s="44"/>
      <c r="L13" s="571">
        <v>1</v>
      </c>
      <c r="M13" s="520" t="str">
        <f>IF(J20=J21,"Gagnant du 8",IF(J20&gt;J21,H20,H21))</f>
        <v>Gagnant du 8</v>
      </c>
      <c r="N13" s="130">
        <f>IF(O12=O13,0,IF(O12&gt;O13,0,2))</f>
        <v>0</v>
      </c>
      <c r="O13" s="577"/>
      <c r="P13" s="44"/>
      <c r="Q13" s="524">
        <v>5</v>
      </c>
      <c r="R13" s="521" t="str">
        <f>IF(O15=O16,"Gagnant du 8",IF(O15&gt;O16,M15,M16))</f>
        <v>Gagnant du 8</v>
      </c>
      <c r="S13" s="130">
        <f>IF(T12=T13,0,IF(T12&gt;T13,0,1))</f>
        <v>0</v>
      </c>
      <c r="T13" s="632"/>
      <c r="U13" s="44"/>
      <c r="V13" s="522" t="s">
        <v>2</v>
      </c>
      <c r="W13" s="528" t="str">
        <f>IF(T14=T15,"Gagnant du 3",IF(T14&gt;T15,R14,R15))</f>
        <v>Gagnant du 3</v>
      </c>
      <c r="X13" s="172">
        <f>IF(Y13=Y14,0,IF(Y13&lt;Y14,0,1))</f>
        <v>0</v>
      </c>
      <c r="Y13" s="631"/>
      <c r="Z13" s="61"/>
      <c r="AA13" s="137">
        <v>8</v>
      </c>
      <c r="AB13" s="440">
        <f t="shared" si="8"/>
        <v>0</v>
      </c>
      <c r="AC13" s="155" t="str">
        <f t="shared" si="4"/>
        <v/>
      </c>
      <c r="AD13" s="210" t="str">
        <f t="shared" si="5"/>
        <v/>
      </c>
      <c r="AE13" s="210" t="str">
        <f t="shared" si="9"/>
        <v/>
      </c>
      <c r="AF13" s="210" t="str">
        <f t="shared" si="6"/>
        <v/>
      </c>
      <c r="AG13" s="537">
        <f t="shared" si="0"/>
        <v>0</v>
      </c>
      <c r="AH13" s="319">
        <f t="shared" si="1"/>
        <v>1.00173</v>
      </c>
      <c r="AI13" s="564">
        <f>IF(AB13="","",(SMALL(AH$6:AH$21,ROWS(AL$6:AL13))))</f>
        <v>1.00173</v>
      </c>
      <c r="AJ13" s="652">
        <f>IF(AI13="","",IF(AND(AL12=AL13),$AJ12,$AJ$6+7))</f>
        <v>1</v>
      </c>
      <c r="AK13" s="562">
        <f t="shared" si="2"/>
        <v>0</v>
      </c>
      <c r="AL13" s="467">
        <f t="shared" si="7"/>
        <v>0</v>
      </c>
      <c r="AM13"/>
      <c r="AN13" s="488" t="s">
        <v>65</v>
      </c>
      <c r="AO13" s="262">
        <v>2</v>
      </c>
      <c r="AP13" s="247" t="s">
        <v>245</v>
      </c>
      <c r="AQ13" s="544">
        <v>4</v>
      </c>
    </row>
    <row r="14" spans="1:43" ht="26.1" customHeight="1" thickBot="1">
      <c r="A14" s="94">
        <v>9</v>
      </c>
      <c r="B14" s="559"/>
      <c r="C14" s="560"/>
      <c r="D14" s="96"/>
      <c r="E14" s="44"/>
      <c r="F14" s="573" t="s">
        <v>2</v>
      </c>
      <c r="G14" s="475">
        <v>9</v>
      </c>
      <c r="H14" s="182" t="str">
        <f t="shared" si="3"/>
        <v/>
      </c>
      <c r="I14" s="125">
        <f>IF(J14=J15,0,IF(J14&lt;J15,2,4))</f>
        <v>0</v>
      </c>
      <c r="J14" s="576"/>
      <c r="K14" s="44"/>
      <c r="L14" s="44"/>
      <c r="M14" s="584" t="s">
        <v>7</v>
      </c>
      <c r="N14" s="388"/>
      <c r="O14" s="44"/>
      <c r="P14" s="44"/>
      <c r="Q14" s="522" t="s">
        <v>2</v>
      </c>
      <c r="R14" s="528" t="str">
        <f>IF(O19=O20,"Gagnant du 4",IF(O19&gt;O20,M19,M20))</f>
        <v>Gagnant du 4</v>
      </c>
      <c r="S14" s="172">
        <f>IF(T14=T15,0,IF(T14&lt;T15,0,1))</f>
        <v>0</v>
      </c>
      <c r="T14" s="631"/>
      <c r="U14" s="44"/>
      <c r="V14" s="524">
        <v>1</v>
      </c>
      <c r="W14" s="520" t="str">
        <f>IF(T12=T13,"Gagnant du 5",IF(T12&gt;T13,R12,R13))</f>
        <v>Gagnant du 5</v>
      </c>
      <c r="X14" s="130">
        <f>IF(Y13=Y14,0,IF(Y13&gt;Y14,0,1))</f>
        <v>0</v>
      </c>
      <c r="Y14" s="632"/>
      <c r="Z14" s="61"/>
      <c r="AA14" s="137">
        <v>9</v>
      </c>
      <c r="AB14" s="440">
        <f t="shared" si="8"/>
        <v>0</v>
      </c>
      <c r="AC14" s="155" t="str">
        <f t="shared" si="4"/>
        <v/>
      </c>
      <c r="AD14" s="210" t="str">
        <f t="shared" si="5"/>
        <v/>
      </c>
      <c r="AE14" s="210" t="str">
        <f t="shared" si="9"/>
        <v/>
      </c>
      <c r="AF14" s="210" t="str">
        <f t="shared" si="6"/>
        <v/>
      </c>
      <c r="AG14" s="537">
        <f t="shared" si="0"/>
        <v>0</v>
      </c>
      <c r="AH14" s="319">
        <f t="shared" si="1"/>
        <v>1.0017400000000001</v>
      </c>
      <c r="AI14" s="564">
        <f>IF(AB14="","",(SMALL(AH$6:AH$21,ROWS(AL$6:AL14))))</f>
        <v>1.0017400000000001</v>
      </c>
      <c r="AJ14" s="652">
        <f>IF(AI14="","",IF(AND(AL13=AL14),$AJ13,$AJ$6+8))</f>
        <v>1</v>
      </c>
      <c r="AK14" s="562">
        <f t="shared" si="2"/>
        <v>0</v>
      </c>
      <c r="AL14" s="467">
        <f t="shared" si="7"/>
        <v>0</v>
      </c>
      <c r="AM14"/>
      <c r="AN14" s="546" t="s">
        <v>117</v>
      </c>
      <c r="AO14" s="240">
        <v>2</v>
      </c>
      <c r="AP14" s="245" t="s">
        <v>249</v>
      </c>
      <c r="AQ14" s="550">
        <v>5</v>
      </c>
    </row>
    <row r="15" spans="1:43" ht="26.1" customHeight="1" thickBot="1">
      <c r="A15" s="94">
        <v>10</v>
      </c>
      <c r="B15" s="557"/>
      <c r="C15" s="558"/>
      <c r="D15" s="96"/>
      <c r="E15" s="44"/>
      <c r="F15" s="574">
        <v>5</v>
      </c>
      <c r="G15" s="476">
        <v>10</v>
      </c>
      <c r="H15" s="198" t="str">
        <f t="shared" si="3"/>
        <v/>
      </c>
      <c r="I15" s="129">
        <f>IF(J14=J15,0,IF(J14&gt;J15,2,4))</f>
        <v>0</v>
      </c>
      <c r="J15" s="577"/>
      <c r="K15" s="44"/>
      <c r="L15" s="522" t="s">
        <v>2</v>
      </c>
      <c r="M15" s="528" t="str">
        <f>IF(J6=J7,"Perdant du 1",IF(J6&lt;J7,H6,H7))</f>
        <v>Perdant du 1</v>
      </c>
      <c r="N15" s="172">
        <f>IF(O15=O16,0,IF(O15&lt;O16,0,1))</f>
        <v>0</v>
      </c>
      <c r="O15" s="631"/>
      <c r="P15" s="44"/>
      <c r="Q15" s="524">
        <v>3</v>
      </c>
      <c r="R15" s="520" t="str">
        <f>IF(O21=O22,"Gagnant du 6",IF(O21&gt;O22,M21,M22))</f>
        <v>Gagnant du 6</v>
      </c>
      <c r="S15" s="130">
        <f>IF(T14=T15,0,IF(T14&gt;T15,0,1))</f>
        <v>0</v>
      </c>
      <c r="T15" s="632"/>
      <c r="U15" s="44"/>
      <c r="V15" s="44"/>
      <c r="W15" s="131"/>
      <c r="X15" s="131"/>
      <c r="Y15" s="44"/>
      <c r="Z15" s="113"/>
      <c r="AA15" s="137">
        <v>10</v>
      </c>
      <c r="AB15" s="440">
        <f t="shared" si="8"/>
        <v>0</v>
      </c>
      <c r="AC15" s="155" t="str">
        <f t="shared" si="4"/>
        <v/>
      </c>
      <c r="AD15" s="210" t="str">
        <f t="shared" si="5"/>
        <v/>
      </c>
      <c r="AE15" s="210" t="str">
        <f t="shared" si="9"/>
        <v/>
      </c>
      <c r="AF15" s="210" t="str">
        <f t="shared" si="6"/>
        <v/>
      </c>
      <c r="AG15" s="561">
        <f t="shared" si="0"/>
        <v>0</v>
      </c>
      <c r="AH15" s="319">
        <f t="shared" si="1"/>
        <v>1.0017500000000001</v>
      </c>
      <c r="AI15" s="564">
        <f>IF(AB15="","",(SMALL(AH$6:AH$21,ROWS(AL$6:AL15))))</f>
        <v>1.0017500000000001</v>
      </c>
      <c r="AJ15" s="652">
        <f>IF(AI15="","",IF(AND(AL14=AL15),$AJ14,$AJ$6+9))</f>
        <v>1</v>
      </c>
      <c r="AK15" s="562">
        <f t="shared" si="2"/>
        <v>0</v>
      </c>
      <c r="AL15" s="467">
        <f t="shared" si="7"/>
        <v>0</v>
      </c>
      <c r="AM15"/>
      <c r="AN15" s="547" t="s">
        <v>18</v>
      </c>
      <c r="AO15" s="242">
        <v>2</v>
      </c>
      <c r="AP15" s="243" t="s">
        <v>250</v>
      </c>
      <c r="AQ15" s="551">
        <v>4</v>
      </c>
    </row>
    <row r="16" spans="1:43" ht="26.1" customHeight="1" thickBot="1">
      <c r="A16" s="94">
        <v>11</v>
      </c>
      <c r="B16" s="559"/>
      <c r="C16" s="560"/>
      <c r="D16" s="96"/>
      <c r="E16" s="44"/>
      <c r="F16" s="573" t="s">
        <v>2</v>
      </c>
      <c r="G16" s="475">
        <v>11</v>
      </c>
      <c r="H16" s="202" t="str">
        <f t="shared" si="3"/>
        <v/>
      </c>
      <c r="I16" s="125">
        <f>IF(J16=J17,0,IF(J16&lt;J17,2,4))</f>
        <v>0</v>
      </c>
      <c r="J16" s="576"/>
      <c r="K16" s="44"/>
      <c r="L16" s="524">
        <v>8</v>
      </c>
      <c r="M16" s="521" t="str">
        <f>IF(J8=J9,"Perdant du 2",IF(J8&lt;J9,H8,H9))</f>
        <v>Perdant du 2</v>
      </c>
      <c r="N16" s="130">
        <f>IF(O15=O16,0,IF(O15&gt;O16,0,1))</f>
        <v>0</v>
      </c>
      <c r="O16" s="632"/>
      <c r="P16" s="44"/>
      <c r="Q16" s="44"/>
      <c r="R16" s="131"/>
      <c r="S16" s="131"/>
      <c r="T16" s="44"/>
      <c r="U16" s="44"/>
      <c r="V16" s="44"/>
      <c r="W16" s="131"/>
      <c r="X16" s="131"/>
      <c r="Y16" s="44"/>
      <c r="Z16" s="113"/>
      <c r="AA16" s="137">
        <v>11</v>
      </c>
      <c r="AB16" s="440">
        <f t="shared" si="8"/>
        <v>0</v>
      </c>
      <c r="AC16" s="155" t="str">
        <f t="shared" si="4"/>
        <v/>
      </c>
      <c r="AD16" s="210" t="str">
        <f t="shared" si="5"/>
        <v/>
      </c>
      <c r="AE16" s="210" t="str">
        <f t="shared" si="9"/>
        <v/>
      </c>
      <c r="AF16" s="210" t="str">
        <f t="shared" si="6"/>
        <v/>
      </c>
      <c r="AG16" s="537">
        <f t="shared" si="0"/>
        <v>0</v>
      </c>
      <c r="AH16" s="319">
        <f t="shared" si="1"/>
        <v>1.00176</v>
      </c>
      <c r="AI16" s="564">
        <f>IF(AB16="","",(SMALL(AH$6:AH$21,ROWS(AL$6:AL16))))</f>
        <v>1.00176</v>
      </c>
      <c r="AJ16" s="652">
        <f>IF(AI16="","",IF(AND(AL15=AL16),$AJ15,$AJ$6+10))</f>
        <v>1</v>
      </c>
      <c r="AK16" s="562">
        <f t="shared" si="2"/>
        <v>0</v>
      </c>
      <c r="AL16" s="467">
        <f t="shared" si="7"/>
        <v>0</v>
      </c>
      <c r="AM16"/>
      <c r="AN16" s="548" t="s">
        <v>64</v>
      </c>
      <c r="AO16" s="242">
        <v>2</v>
      </c>
      <c r="AP16" s="243" t="s">
        <v>251</v>
      </c>
      <c r="AQ16" s="552">
        <v>3</v>
      </c>
    </row>
    <row r="17" spans="1:43" ht="26.1" customHeight="1" thickBot="1">
      <c r="A17" s="94">
        <v>12</v>
      </c>
      <c r="B17" s="557"/>
      <c r="C17" s="558"/>
      <c r="D17" s="96"/>
      <c r="E17" s="44"/>
      <c r="F17" s="574">
        <v>6</v>
      </c>
      <c r="G17" s="476">
        <v>12</v>
      </c>
      <c r="H17" s="203" t="str">
        <f t="shared" si="3"/>
        <v/>
      </c>
      <c r="I17" s="129">
        <f>IF(J16=J17,0,IF(J16&gt;J17,2,4))</f>
        <v>0</v>
      </c>
      <c r="J17" s="577"/>
      <c r="K17" s="44"/>
      <c r="L17" s="522" t="s">
        <v>2</v>
      </c>
      <c r="M17" s="528" t="str">
        <f>IF(J10=J11,"Perdant du 3",IF(J10&lt;J11,H10,H11))</f>
        <v>Perdant du 3</v>
      </c>
      <c r="N17" s="172">
        <f>IF(O17=O18,0,IF(O17&lt;O18,0,1))</f>
        <v>0</v>
      </c>
      <c r="O17" s="631"/>
      <c r="P17" s="44"/>
      <c r="Q17" s="44"/>
      <c r="R17" s="167" t="s">
        <v>53</v>
      </c>
      <c r="S17" s="167"/>
      <c r="T17" s="44"/>
      <c r="U17" s="44"/>
      <c r="V17" s="44"/>
      <c r="W17" s="131"/>
      <c r="X17" s="131"/>
      <c r="Y17" s="44"/>
      <c r="Z17" s="113"/>
      <c r="AA17" s="137">
        <v>12</v>
      </c>
      <c r="AB17" s="440">
        <f t="shared" si="8"/>
        <v>0</v>
      </c>
      <c r="AC17" s="155" t="str">
        <f t="shared" si="4"/>
        <v/>
      </c>
      <c r="AD17" s="210" t="str">
        <f t="shared" si="5"/>
        <v/>
      </c>
      <c r="AE17" s="210" t="str">
        <f t="shared" si="9"/>
        <v/>
      </c>
      <c r="AF17" s="210" t="str">
        <f t="shared" si="6"/>
        <v/>
      </c>
      <c r="AG17" s="537">
        <f t="shared" si="0"/>
        <v>0</v>
      </c>
      <c r="AH17" s="319">
        <f t="shared" si="1"/>
        <v>1.00177</v>
      </c>
      <c r="AI17" s="564">
        <f>IF(AB17="","",(SMALL(AH$6:AH$21,ROWS(AL$6:AL17))))</f>
        <v>1.00177</v>
      </c>
      <c r="AJ17" s="652">
        <f>IF(AI17="","",IF(AND(AL16=AL17),$AJ16,$AJ$6+11))</f>
        <v>1</v>
      </c>
      <c r="AK17" s="562">
        <f t="shared" si="2"/>
        <v>0</v>
      </c>
      <c r="AL17" s="467">
        <f t="shared" si="7"/>
        <v>0</v>
      </c>
      <c r="AM17"/>
      <c r="AN17" s="549" t="s">
        <v>64</v>
      </c>
      <c r="AO17" s="250">
        <v>2</v>
      </c>
      <c r="AP17" s="247" t="s">
        <v>251</v>
      </c>
      <c r="AQ17" s="553">
        <v>3</v>
      </c>
    </row>
    <row r="18" spans="1:43" ht="26.1" customHeight="1" thickBot="1">
      <c r="A18" s="94">
        <v>13</v>
      </c>
      <c r="B18" s="559"/>
      <c r="C18" s="560"/>
      <c r="D18" s="96"/>
      <c r="E18" s="44"/>
      <c r="F18" s="573" t="s">
        <v>2</v>
      </c>
      <c r="G18" s="475">
        <v>13</v>
      </c>
      <c r="H18" s="182" t="str">
        <f t="shared" si="3"/>
        <v/>
      </c>
      <c r="I18" s="125">
        <f>IF(J18=J19,0,IF(J18&lt;J19,2,4))</f>
        <v>0</v>
      </c>
      <c r="J18" s="576"/>
      <c r="K18" s="44"/>
      <c r="L18" s="524">
        <v>2</v>
      </c>
      <c r="M18" s="521" t="str">
        <f>IF(J12=J13,"Perdant du 4",IF(J12&lt;J13,H12,H13))</f>
        <v>Perdant du 4</v>
      </c>
      <c r="N18" s="130">
        <f>IF(O17=O18,0,IF(O17&gt;O18,0,1))</f>
        <v>0</v>
      </c>
      <c r="O18" s="632"/>
      <c r="P18" s="44"/>
      <c r="Q18" s="483" t="s">
        <v>2</v>
      </c>
      <c r="R18" s="535" t="str">
        <f>IF(O12=O13,"Perdant du 1",IF(O12&lt;O13,M12,M13))</f>
        <v>Perdant du 1</v>
      </c>
      <c r="S18" s="172">
        <f>IF(T18=T19,0,IF(T18&lt;T19,0,1))</f>
        <v>0</v>
      </c>
      <c r="T18" s="511"/>
      <c r="U18" s="44"/>
      <c r="V18" s="44"/>
      <c r="W18" s="167" t="s">
        <v>11</v>
      </c>
      <c r="X18" s="167"/>
      <c r="Y18" s="44"/>
      <c r="Z18" s="113"/>
      <c r="AA18" s="137">
        <v>13</v>
      </c>
      <c r="AB18" s="440">
        <f t="shared" si="8"/>
        <v>0</v>
      </c>
      <c r="AC18" s="155" t="str">
        <f t="shared" si="4"/>
        <v/>
      </c>
      <c r="AD18" s="210" t="str">
        <f t="shared" si="5"/>
        <v/>
      </c>
      <c r="AE18" s="210" t="str">
        <f t="shared" si="9"/>
        <v/>
      </c>
      <c r="AF18" s="210" t="str">
        <f t="shared" si="6"/>
        <v/>
      </c>
      <c r="AG18" s="537">
        <f t="shared" si="0"/>
        <v>0</v>
      </c>
      <c r="AH18" s="319">
        <f t="shared" si="1"/>
        <v>1.0017800000000001</v>
      </c>
      <c r="AI18" s="564">
        <f>IF(AB18="","",(SMALL(AH$6:AH$21,ROWS(AL$6:AL18))))</f>
        <v>1.0017800000000001</v>
      </c>
      <c r="AJ18" s="652">
        <f>IF(AI18="","",IF(AND(AL17=AL18),$AJ17,$AJ$6+12))</f>
        <v>1</v>
      </c>
      <c r="AK18" s="562">
        <f t="shared" si="2"/>
        <v>0</v>
      </c>
      <c r="AL18" s="467">
        <f t="shared" si="7"/>
        <v>0</v>
      </c>
      <c r="AM18"/>
      <c r="AN18" s="518" t="s">
        <v>116</v>
      </c>
      <c r="AO18" s="254">
        <v>2</v>
      </c>
      <c r="AP18" s="245" t="s">
        <v>246</v>
      </c>
      <c r="AQ18" s="136">
        <f t="shared" ref="AQ18:AQ21" si="10">SUM(AO18:AP18)</f>
        <v>2</v>
      </c>
    </row>
    <row r="19" spans="1:43" ht="26.1" customHeight="1" thickBot="1">
      <c r="A19" s="94">
        <v>14</v>
      </c>
      <c r="B19" s="557"/>
      <c r="C19" s="558"/>
      <c r="D19" s="96"/>
      <c r="E19" s="44"/>
      <c r="F19" s="574">
        <v>7</v>
      </c>
      <c r="G19" s="476">
        <v>14</v>
      </c>
      <c r="H19" s="198" t="str">
        <f t="shared" si="3"/>
        <v/>
      </c>
      <c r="I19" s="129">
        <f>IF(J18=J19,0,IF(J18&gt;J19,2,4))</f>
        <v>0</v>
      </c>
      <c r="J19" s="577"/>
      <c r="K19" s="44"/>
      <c r="L19" s="522" t="s">
        <v>2</v>
      </c>
      <c r="M19" s="528" t="str">
        <f>IF(J14=J15,"Perdant du 5",IF(J14&lt;J15,H14,H15))</f>
        <v>Perdant du 5</v>
      </c>
      <c r="N19" s="172">
        <f>IF(O19=O20,0,IF(O19&lt;O20,0,1))</f>
        <v>0</v>
      </c>
      <c r="O19" s="631"/>
      <c r="P19" s="44"/>
      <c r="Q19" s="484">
        <v>4</v>
      </c>
      <c r="R19" s="521" t="str">
        <f>IF(O6=O7,"Perdant du 3",IF(O6&lt;O7,M6,M7))</f>
        <v>Perdant du 3</v>
      </c>
      <c r="S19" s="130">
        <f>IF(T18=T19,0,IF(T18&gt;T19,0,1))</f>
        <v>0</v>
      </c>
      <c r="T19" s="512"/>
      <c r="U19" s="44"/>
      <c r="V19" s="483" t="s">
        <v>2</v>
      </c>
      <c r="W19" s="535" t="str">
        <f>IF(T18=T19,"Gagnant du 4",IF(T18&gt;T19,R18,R19))</f>
        <v>Gagnant du 4</v>
      </c>
      <c r="X19" s="172">
        <f>IF(Y19=Y20,0,IF(Y19&lt;Y20,0,1))</f>
        <v>0</v>
      </c>
      <c r="Y19" s="511"/>
      <c r="Z19" s="61"/>
      <c r="AA19" s="137">
        <v>14</v>
      </c>
      <c r="AB19" s="440">
        <f t="shared" si="8"/>
        <v>0</v>
      </c>
      <c r="AC19" s="155" t="str">
        <f t="shared" si="4"/>
        <v/>
      </c>
      <c r="AD19" s="210" t="str">
        <f t="shared" si="5"/>
        <v/>
      </c>
      <c r="AE19" s="210" t="str">
        <f t="shared" si="9"/>
        <v/>
      </c>
      <c r="AF19" s="210" t="str">
        <f t="shared" si="6"/>
        <v/>
      </c>
      <c r="AG19" s="537">
        <f t="shared" si="0"/>
        <v>0</v>
      </c>
      <c r="AH19" s="319">
        <f t="shared" si="1"/>
        <v>1.00179</v>
      </c>
      <c r="AI19" s="564">
        <f>IF(AB19="","",(SMALL(AH$6:AH$21,ROWS(AL$6:AL19))))</f>
        <v>1.00179</v>
      </c>
      <c r="AJ19" s="652">
        <f>IF(AI19="","",IF(AND(AL18=AL19),$AJ18,$AJ$6+13))</f>
        <v>1</v>
      </c>
      <c r="AK19" s="562">
        <f t="shared" si="2"/>
        <v>0</v>
      </c>
      <c r="AL19" s="467">
        <f t="shared" si="7"/>
        <v>0</v>
      </c>
      <c r="AM19"/>
      <c r="AN19" s="563" t="s">
        <v>116</v>
      </c>
      <c r="AO19" s="255">
        <v>2</v>
      </c>
      <c r="AP19" s="243" t="s">
        <v>246</v>
      </c>
      <c r="AQ19" s="137">
        <f t="shared" si="10"/>
        <v>2</v>
      </c>
    </row>
    <row r="20" spans="1:43" ht="26.1" customHeight="1" thickBot="1">
      <c r="A20" s="94">
        <v>15</v>
      </c>
      <c r="B20" s="559"/>
      <c r="C20" s="560"/>
      <c r="D20" s="96"/>
      <c r="E20" s="44"/>
      <c r="F20" s="573" t="s">
        <v>2</v>
      </c>
      <c r="G20" s="475">
        <v>15</v>
      </c>
      <c r="H20" s="182" t="str">
        <f t="shared" si="3"/>
        <v/>
      </c>
      <c r="I20" s="125">
        <f>IF(J20=J21,0,IF(J20&lt;J21,2,4))</f>
        <v>0</v>
      </c>
      <c r="J20" s="576"/>
      <c r="K20" s="44"/>
      <c r="L20" s="526">
        <v>4</v>
      </c>
      <c r="M20" s="527" t="str">
        <f>IF(J16=J17,"Perdant du 6",IF(J16&lt;J17,H16,H17))</f>
        <v>Perdant du 6</v>
      </c>
      <c r="N20" s="130">
        <f>IF(O19=O20,0,IF(O19&gt;O20,0,1))</f>
        <v>0</v>
      </c>
      <c r="O20" s="634"/>
      <c r="P20" s="44"/>
      <c r="Q20" s="483" t="s">
        <v>2</v>
      </c>
      <c r="R20" s="528" t="str">
        <f>IF(O8=O9,"Perdant du 5",IF(O8&lt;O9,M8,M9))</f>
        <v>Perdant du 5</v>
      </c>
      <c r="S20" s="172">
        <f>IF(T20=T21,0,IF(T20&lt;T21,0,1))</f>
        <v>0</v>
      </c>
      <c r="T20" s="511"/>
      <c r="U20" s="44"/>
      <c r="V20" s="484">
        <v>6</v>
      </c>
      <c r="W20" s="520" t="str">
        <f>IF(T20=T21,"Gagnant du 8",IF(T20&gt;T21,R20,R21))</f>
        <v>Gagnant du 8</v>
      </c>
      <c r="X20" s="130">
        <f>IF(Y19=Y20,0,IF(Y19&gt;Y20,0,1))</f>
        <v>0</v>
      </c>
      <c r="Y20" s="512"/>
      <c r="Z20" s="61"/>
      <c r="AA20" s="137">
        <v>15</v>
      </c>
      <c r="AB20" s="440">
        <f t="shared" si="8"/>
        <v>0</v>
      </c>
      <c r="AC20" s="155" t="str">
        <f t="shared" si="4"/>
        <v/>
      </c>
      <c r="AD20" s="210" t="str">
        <f t="shared" si="5"/>
        <v/>
      </c>
      <c r="AE20" s="210" t="str">
        <f t="shared" si="9"/>
        <v/>
      </c>
      <c r="AF20" s="210" t="str">
        <f t="shared" si="6"/>
        <v/>
      </c>
      <c r="AG20" s="537">
        <f t="shared" si="0"/>
        <v>0</v>
      </c>
      <c r="AH20" s="319">
        <f t="shared" si="1"/>
        <v>1.0018</v>
      </c>
      <c r="AI20" s="564">
        <f>IF(AB20="","",(SMALL(AH$6:AH$21,ROWS(AL$6:AL20))))</f>
        <v>1.0018</v>
      </c>
      <c r="AJ20" s="652">
        <f>IF(AI20="","",IF(AND(AL19=AL20),$AJ19,$AJ$6+14))</f>
        <v>1</v>
      </c>
      <c r="AK20" s="562">
        <f t="shared" si="2"/>
        <v>0</v>
      </c>
      <c r="AL20" s="467">
        <f t="shared" si="7"/>
        <v>0</v>
      </c>
      <c r="AM20"/>
      <c r="AN20" s="563" t="s">
        <v>116</v>
      </c>
      <c r="AO20" s="255">
        <v>2</v>
      </c>
      <c r="AP20" s="243" t="s">
        <v>246</v>
      </c>
      <c r="AQ20" s="137">
        <f t="shared" si="10"/>
        <v>2</v>
      </c>
    </row>
    <row r="21" spans="1:43" ht="26.1" customHeight="1" thickBot="1">
      <c r="A21" s="110">
        <v>16</v>
      </c>
      <c r="B21" s="587"/>
      <c r="C21" s="588"/>
      <c r="D21" s="111"/>
      <c r="E21" s="44"/>
      <c r="F21" s="574">
        <v>8</v>
      </c>
      <c r="G21" s="476">
        <v>16</v>
      </c>
      <c r="H21" s="198" t="str">
        <f t="shared" si="3"/>
        <v/>
      </c>
      <c r="I21" s="129">
        <f>IF(J20=J21,0,IF(J20&gt;J21,2,4))</f>
        <v>0</v>
      </c>
      <c r="J21" s="577"/>
      <c r="K21" s="44"/>
      <c r="L21" s="522" t="s">
        <v>2</v>
      </c>
      <c r="M21" s="528" t="str">
        <f>IF(J18=J19,"Perdant du 7",IF(J18&lt;J19,H18,H19))</f>
        <v>Perdant du 7</v>
      </c>
      <c r="N21" s="172">
        <f>IF(O21=O22,0,IF(O21&lt;O22,0,1))</f>
        <v>0</v>
      </c>
      <c r="O21" s="631"/>
      <c r="P21" s="44"/>
      <c r="Q21" s="484">
        <v>8</v>
      </c>
      <c r="R21" s="520" t="str">
        <f>IF(O10=O11,"Perdant du 7",IF(O10&lt;O11,M10,M11))</f>
        <v>Perdant du 7</v>
      </c>
      <c r="S21" s="130">
        <f>IF(T20=T21,0,IF(T20&gt;T21,0,1))</f>
        <v>0</v>
      </c>
      <c r="T21" s="512"/>
      <c r="U21" s="44"/>
      <c r="V21" s="44"/>
      <c r="W21" s="44"/>
      <c r="X21" s="44"/>
      <c r="Y21" s="44"/>
      <c r="Z21" s="113"/>
      <c r="AA21" s="138">
        <v>16</v>
      </c>
      <c r="AB21" s="463">
        <f t="shared" si="8"/>
        <v>0</v>
      </c>
      <c r="AC21" s="180" t="str">
        <f t="shared" si="4"/>
        <v/>
      </c>
      <c r="AD21" s="236" t="str">
        <f t="shared" si="5"/>
        <v/>
      </c>
      <c r="AE21" s="236" t="str">
        <f t="shared" si="9"/>
        <v/>
      </c>
      <c r="AF21" s="158" t="str">
        <f t="shared" si="6"/>
        <v/>
      </c>
      <c r="AG21" s="537">
        <f t="shared" si="0"/>
        <v>0</v>
      </c>
      <c r="AH21" s="319">
        <f t="shared" si="1"/>
        <v>1.0018100000000001</v>
      </c>
      <c r="AI21" s="564">
        <f>IF(AB21="","",(SMALL(AH$6:AH$21,ROWS(AL$6:AL21))))</f>
        <v>1.0018100000000001</v>
      </c>
      <c r="AJ21" s="653">
        <f>IF(AI21="","",IF(AND(AL20=AL21),$AJ20,$AJ$6+15))</f>
        <v>1</v>
      </c>
      <c r="AK21" s="566">
        <f t="shared" si="2"/>
        <v>0</v>
      </c>
      <c r="AL21" s="567">
        <f t="shared" si="7"/>
        <v>0</v>
      </c>
      <c r="AM21"/>
      <c r="AN21" s="142" t="s">
        <v>116</v>
      </c>
      <c r="AO21" s="253">
        <v>2</v>
      </c>
      <c r="AP21" s="247" t="s">
        <v>246</v>
      </c>
      <c r="AQ21" s="138">
        <f t="shared" si="10"/>
        <v>2</v>
      </c>
    </row>
    <row r="22" spans="1:43" ht="26.1" customHeight="1" thickBo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524">
        <v>6</v>
      </c>
      <c r="M22" s="534" t="str">
        <f>IF(J20=J21,"Perdant du 8",IF(J20&lt;J21,H20,H21))</f>
        <v>Perdant du 8</v>
      </c>
      <c r="N22" s="130">
        <f>IF(O21=O22,0,IF(O21&gt;O22,0,1))</f>
        <v>0</v>
      </c>
      <c r="O22" s="63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113"/>
      <c r="AA22" s="113"/>
      <c r="AB22" s="113"/>
      <c r="AC22" s="113">
        <f>SUM(AC6:AC21)</f>
        <v>0</v>
      </c>
      <c r="AD22" s="113">
        <f>SUM(AD6:AD21)</f>
        <v>0</v>
      </c>
      <c r="AE22" s="113">
        <f>SUM(AE6:AE21)</f>
        <v>0</v>
      </c>
      <c r="AF22" s="113">
        <f>SUM(AF6:AF21)</f>
        <v>0</v>
      </c>
      <c r="AG22" s="113">
        <f>SUM(AG6:AG21)</f>
        <v>0</v>
      </c>
      <c r="AH22" s="113"/>
      <c r="AI22" s="113"/>
      <c r="AJ22"/>
      <c r="AK22" s="113"/>
      <c r="AL22" s="113"/>
      <c r="AM22" s="113"/>
    </row>
    <row r="23" spans="1:43" ht="24.95" customHeight="1" thickBot="1">
      <c r="A23" s="44"/>
      <c r="B23" s="421" t="s">
        <v>106</v>
      </c>
      <c r="C23" s="44"/>
      <c r="E23" s="44"/>
      <c r="F23" s="47"/>
      <c r="G23" s="47"/>
      <c r="H23" s="47"/>
      <c r="I23" s="44"/>
      <c r="J23" s="47"/>
      <c r="K23" s="44"/>
      <c r="L23" s="44"/>
      <c r="M23" s="44"/>
      <c r="N23" s="113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/>
      <c r="AK23" s="113"/>
      <c r="AL23" s="113"/>
      <c r="AM23" s="113"/>
    </row>
    <row r="24" spans="1:43" ht="24.95" customHeight="1" thickBot="1">
      <c r="A24" s="44"/>
      <c r="B24" s="648" t="s">
        <v>45</v>
      </c>
      <c r="C24" s="44"/>
      <c r="D24" s="44"/>
      <c r="E24" s="44"/>
      <c r="F24" s="44"/>
      <c r="G24" s="44"/>
      <c r="H24" s="44"/>
      <c r="I24" s="135">
        <f>SUM(I6:I23)</f>
        <v>0</v>
      </c>
      <c r="J24" s="135"/>
      <c r="K24" s="135"/>
      <c r="L24" s="135"/>
      <c r="M24" s="135"/>
      <c r="N24" s="131">
        <f>SUM(N6:N22)</f>
        <v>0</v>
      </c>
      <c r="O24" s="135"/>
      <c r="P24" s="135"/>
      <c r="Q24" s="135"/>
      <c r="R24" s="135"/>
      <c r="S24" s="135">
        <f>SUM(S6:S21)</f>
        <v>0</v>
      </c>
      <c r="T24" s="135"/>
      <c r="U24" s="135"/>
      <c r="V24" s="135"/>
      <c r="W24" s="135"/>
      <c r="X24" s="135">
        <f>SUM(X7:X20)</f>
        <v>0</v>
      </c>
      <c r="Y24" s="13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271">
        <f>SUM(I24:Z24)</f>
        <v>0</v>
      </c>
      <c r="AL24" s="271">
        <f>SUM(AL6:AL21)</f>
        <v>0</v>
      </c>
      <c r="AM24" s="113"/>
      <c r="AQ24" s="486">
        <f>SUM(AQ6:AQ23)</f>
        <v>72</v>
      </c>
    </row>
    <row r="25" spans="1:43" ht="24.95" customHeight="1" thickBot="1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89"/>
    </row>
    <row r="26" spans="1:43" ht="24.95" customHeight="1" thickBot="1">
      <c r="A26" s="189"/>
      <c r="G26" s="189"/>
      <c r="H26" s="189"/>
      <c r="I26" s="44">
        <v>48</v>
      </c>
      <c r="J26" s="44"/>
      <c r="K26" s="44"/>
      <c r="L26" s="44"/>
      <c r="M26" s="44"/>
      <c r="N26" s="44">
        <v>12</v>
      </c>
      <c r="O26" s="44"/>
      <c r="P26" s="113"/>
      <c r="Q26" s="44"/>
      <c r="R26" s="44"/>
      <c r="S26" s="44">
        <v>8</v>
      </c>
      <c r="T26" s="44"/>
      <c r="U26" s="44"/>
      <c r="V26" s="44"/>
      <c r="W26" s="44"/>
      <c r="X26" s="44">
        <v>4</v>
      </c>
      <c r="Y26" s="189"/>
      <c r="Z26" s="189"/>
      <c r="AA26" s="189"/>
      <c r="AB26" s="199"/>
      <c r="AC26" s="199"/>
      <c r="AD26" s="199"/>
      <c r="AE26" s="199"/>
      <c r="AF26" s="199"/>
      <c r="AG26" s="199"/>
      <c r="AH26" s="199"/>
      <c r="AI26" s="199"/>
      <c r="AJ26" s="199"/>
      <c r="AK26" s="271">
        <f>SUM(I26:Z26)</f>
        <v>72</v>
      </c>
      <c r="AL26" s="199"/>
      <c r="AM26" s="199"/>
      <c r="AN26" s="199"/>
      <c r="AO26" s="189"/>
    </row>
    <row r="27" spans="1:43" ht="24.95" customHeight="1">
      <c r="A27" s="189"/>
      <c r="G27" s="189"/>
      <c r="H27" s="189"/>
      <c r="I27" s="189"/>
      <c r="J27" s="189"/>
      <c r="K27" s="189"/>
      <c r="L27" s="189"/>
      <c r="M27" s="189"/>
      <c r="N27" s="189"/>
      <c r="O27" s="189"/>
      <c r="P27" s="19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89"/>
    </row>
    <row r="28" spans="1:43" ht="24.95" customHeight="1">
      <c r="A28" s="189"/>
      <c r="G28" s="189"/>
      <c r="H28" s="189"/>
      <c r="I28" s="189"/>
      <c r="J28" s="189"/>
      <c r="K28" s="189"/>
      <c r="L28" s="189"/>
      <c r="M28" s="189"/>
      <c r="N28" s="189"/>
      <c r="O28" s="189"/>
      <c r="P28" s="19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89"/>
    </row>
    <row r="29" spans="1:43" ht="24.95" customHeight="1">
      <c r="A29" s="189"/>
      <c r="B29" s="189"/>
      <c r="C29" s="189"/>
      <c r="D29" s="189"/>
      <c r="E29" s="189"/>
      <c r="F29" s="189"/>
      <c r="G29" s="189"/>
      <c r="H29" s="189"/>
      <c r="I29" s="189"/>
      <c r="J29" s="277"/>
      <c r="K29" s="189"/>
      <c r="L29" s="189"/>
      <c r="M29" s="189"/>
      <c r="N29" s="189"/>
      <c r="O29" s="19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89"/>
    </row>
    <row r="30" spans="1:43" ht="24.95" customHeight="1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9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89"/>
    </row>
    <row r="31" spans="1:43" ht="24.95" customHeight="1">
      <c r="B31" s="44"/>
      <c r="C31" s="44" t="s">
        <v>41</v>
      </c>
      <c r="D31" s="44"/>
      <c r="E31" s="189"/>
      <c r="F31" s="189"/>
    </row>
    <row r="32" spans="1:43" ht="24.95" customHeight="1">
      <c r="B32" s="144" t="s">
        <v>42</v>
      </c>
      <c r="C32" s="214" t="s">
        <v>101</v>
      </c>
      <c r="D32" s="44"/>
      <c r="E32" s="189"/>
      <c r="F32" s="189"/>
    </row>
    <row r="33" spans="2:40" ht="24.95" customHeight="1">
      <c r="B33" s="145" t="s">
        <v>43</v>
      </c>
      <c r="C33" s="214" t="s">
        <v>102</v>
      </c>
      <c r="D33" s="41"/>
      <c r="E33" s="189"/>
      <c r="F33" s="189"/>
    </row>
    <row r="35" spans="2:40" ht="24.95" customHeight="1">
      <c r="AN35" s="161" t="s">
        <v>239</v>
      </c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4:AL4"/>
    <mergeCell ref="AO4:AQ4"/>
  </mergeCells>
  <conditionalFormatting sqref="AJ6:AJ21">
    <cfRule type="duplicateValues" dxfId="6" priority="1"/>
  </conditionalFormatting>
  <pageMargins left="0.23" right="0.13" top="0.25" bottom="0.32" header="0.15" footer="0.21"/>
  <pageSetup paperSize="9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00"/>
  </sheetPr>
  <dimension ref="A1:AT35"/>
  <sheetViews>
    <sheetView zoomScale="60" zoomScaleNormal="60" workbookViewId="0">
      <selection activeCell="Y23" sqref="Y23:Y24"/>
    </sheetView>
  </sheetViews>
  <sheetFormatPr baseColWidth="10" defaultRowHeight="15"/>
  <cols>
    <col min="1" max="1" width="6.5703125" style="45" customWidth="1"/>
    <col min="2" max="2" width="29.7109375" style="45" customWidth="1"/>
    <col min="3" max="3" width="27.85546875" style="45" customWidth="1"/>
    <col min="4" max="4" width="7.7109375" style="45" customWidth="1"/>
    <col min="5" max="5" width="4.28515625" style="45" customWidth="1"/>
    <col min="6" max="6" width="8.5703125" style="45" customWidth="1"/>
    <col min="7" max="7" width="7.7109375" style="45" hidden="1" customWidth="1"/>
    <col min="8" max="8" width="30" style="45" customWidth="1"/>
    <col min="9" max="9" width="7.140625" style="45" hidden="1" customWidth="1"/>
    <col min="10" max="10" width="7.140625" style="45" customWidth="1"/>
    <col min="11" max="11" width="6.85546875" style="45" customWidth="1"/>
    <col min="12" max="12" width="8.85546875" style="45" customWidth="1"/>
    <col min="13" max="13" width="29.42578125" style="45" customWidth="1"/>
    <col min="14" max="14" width="7.85546875" style="45" hidden="1" customWidth="1"/>
    <col min="15" max="15" width="8.5703125" style="45" customWidth="1"/>
    <col min="16" max="16" width="6.85546875" style="45" customWidth="1"/>
    <col min="17" max="17" width="10.85546875" style="45" customWidth="1"/>
    <col min="18" max="18" width="29.5703125" style="45" customWidth="1"/>
    <col min="19" max="19" width="8.28515625" style="45" hidden="1" customWidth="1"/>
    <col min="20" max="20" width="8.85546875" style="45" customWidth="1"/>
    <col min="21" max="21" width="5.7109375" style="45" customWidth="1"/>
    <col min="22" max="22" width="7" style="45" customWidth="1"/>
    <col min="23" max="23" width="26.7109375" style="45" customWidth="1"/>
    <col min="24" max="24" width="7.5703125" style="45" hidden="1" customWidth="1"/>
    <col min="25" max="25" width="7.140625" style="45" customWidth="1"/>
    <col min="26" max="26" width="6.7109375" style="45" customWidth="1"/>
    <col min="27" max="27" width="6.5703125" style="45" hidden="1" customWidth="1"/>
    <col min="28" max="28" width="27.5703125" style="45" hidden="1" customWidth="1"/>
    <col min="29" max="32" width="11" style="45" hidden="1" customWidth="1"/>
    <col min="33" max="33" width="12.85546875" style="45" hidden="1" customWidth="1"/>
    <col min="34" max="34" width="11" style="45" hidden="1" customWidth="1"/>
    <col min="35" max="35" width="9.7109375" style="45" hidden="1" customWidth="1"/>
    <col min="36" max="36" width="10.85546875" style="45" customWidth="1"/>
    <col min="37" max="37" width="30.42578125" style="45" customWidth="1"/>
    <col min="38" max="38" width="14.140625" style="45" customWidth="1"/>
    <col min="39" max="39" width="20.5703125" style="45" customWidth="1"/>
    <col min="40" max="40" width="29.85546875" style="45" customWidth="1"/>
    <col min="41" max="41" width="14.7109375" style="45" customWidth="1"/>
    <col min="42" max="42" width="39.7109375" style="45" customWidth="1"/>
    <col min="43" max="43" width="16.7109375" style="45" customWidth="1"/>
    <col min="44" max="44" width="6.42578125" style="45" customWidth="1"/>
    <col min="45" max="45" width="44" style="45" customWidth="1"/>
    <col min="46" max="46" width="17.140625" style="45" customWidth="1"/>
    <col min="47" max="16384" width="11.42578125" style="45"/>
  </cols>
  <sheetData>
    <row r="1" spans="1:46" s="414" customFormat="1" ht="36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R1" s="412" t="s">
        <v>138</v>
      </c>
      <c r="S1" s="412"/>
      <c r="T1" s="412"/>
      <c r="U1" s="412"/>
      <c r="V1" s="412"/>
      <c r="W1" s="412"/>
      <c r="X1" s="413"/>
      <c r="Y1" s="412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2"/>
    </row>
    <row r="2" spans="1:46" ht="24.95" customHeight="1" thickBot="1">
      <c r="A2" s="44"/>
      <c r="B2" s="357" t="s">
        <v>143</v>
      </c>
      <c r="C2" s="44"/>
      <c r="D2" s="43" t="s">
        <v>44</v>
      </c>
      <c r="E2" s="43"/>
      <c r="F2" s="43"/>
      <c r="G2" s="43"/>
      <c r="H2" s="43"/>
      <c r="I2" s="43"/>
      <c r="J2" s="43" t="s">
        <v>22</v>
      </c>
      <c r="K2" s="43"/>
      <c r="L2" s="44"/>
      <c r="M2" s="44"/>
      <c r="N2" s="113"/>
      <c r="O2" s="44"/>
      <c r="P2" s="44"/>
      <c r="Q2" s="44"/>
      <c r="S2" s="44"/>
      <c r="T2" s="44"/>
      <c r="U2" s="44"/>
      <c r="V2" s="113"/>
      <c r="W2" s="113"/>
      <c r="X2" s="44"/>
      <c r="Y2" s="44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44"/>
    </row>
    <row r="3" spans="1:46" ht="24.95" customHeight="1" thickBot="1">
      <c r="A3" s="44"/>
      <c r="B3" s="44"/>
      <c r="C3" s="44"/>
      <c r="D3" s="44"/>
      <c r="E3" s="44"/>
      <c r="F3" s="44"/>
      <c r="G3" s="44"/>
      <c r="H3" s="44"/>
      <c r="I3" s="44"/>
      <c r="J3" s="47"/>
      <c r="K3" s="47"/>
      <c r="L3" s="47"/>
      <c r="M3" s="47"/>
      <c r="N3" s="61"/>
      <c r="O3" s="44"/>
      <c r="P3" s="44"/>
      <c r="Q3" s="44"/>
      <c r="R3" s="44"/>
      <c r="S3" s="44"/>
      <c r="T3" s="47"/>
      <c r="U3" s="47"/>
      <c r="V3" s="47"/>
      <c r="W3" s="47"/>
      <c r="X3" s="47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  <c r="AM3" s="199"/>
      <c r="AN3" s="199"/>
      <c r="AO3" s="199"/>
      <c r="AP3" s="199"/>
      <c r="AQ3" s="199"/>
      <c r="AR3" s="113"/>
    </row>
    <row r="4" spans="1:46" ht="24.95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 s="766" t="s">
        <v>129</v>
      </c>
      <c r="AL4" s="767"/>
      <c r="AM4" s="513"/>
      <c r="AN4" s="161"/>
      <c r="AO4" s="769" t="s">
        <v>113</v>
      </c>
      <c r="AP4" s="770"/>
      <c r="AQ4" s="771"/>
      <c r="AR4" s="113"/>
    </row>
    <row r="5" spans="1:46" ht="24.95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405" t="s">
        <v>108</v>
      </c>
      <c r="J5" s="44" t="s">
        <v>107</v>
      </c>
      <c r="K5" s="44"/>
      <c r="L5" s="44"/>
      <c r="M5" s="113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405" t="s">
        <v>108</v>
      </c>
      <c r="T5" s="44" t="s">
        <v>107</v>
      </c>
      <c r="U5" s="44"/>
      <c r="V5" s="44"/>
      <c r="W5" s="46"/>
      <c r="X5" s="46"/>
      <c r="Y5" s="44"/>
      <c r="Z5" s="113"/>
      <c r="AA5" s="113"/>
      <c r="AB5" s="151" t="s">
        <v>111</v>
      </c>
      <c r="AC5" s="304" t="s">
        <v>189</v>
      </c>
      <c r="AD5" s="304" t="s">
        <v>190</v>
      </c>
      <c r="AE5" s="304" t="s">
        <v>191</v>
      </c>
      <c r="AF5" s="151" t="s">
        <v>227</v>
      </c>
      <c r="AG5" s="151" t="s">
        <v>193</v>
      </c>
      <c r="AH5" s="141" t="s">
        <v>109</v>
      </c>
      <c r="AI5" s="141" t="s">
        <v>110</v>
      </c>
      <c r="AJ5" s="433" t="s">
        <v>238</v>
      </c>
      <c r="AK5" s="366" t="s">
        <v>111</v>
      </c>
      <c r="AL5" s="366" t="s">
        <v>192</v>
      </c>
      <c r="AM5"/>
      <c r="AN5" s="238" t="s">
        <v>12</v>
      </c>
      <c r="AO5" s="501" t="s">
        <v>56</v>
      </c>
      <c r="AP5" s="239" t="s">
        <v>241</v>
      </c>
      <c r="AQ5" s="239" t="s">
        <v>16</v>
      </c>
      <c r="AR5" s="113"/>
      <c r="AS5" s="161"/>
      <c r="AT5" s="161"/>
    </row>
    <row r="6" spans="1:46" ht="24.95" customHeight="1">
      <c r="A6" s="87">
        <v>1</v>
      </c>
      <c r="B6" s="555"/>
      <c r="C6" s="556"/>
      <c r="D6" s="89"/>
      <c r="E6" s="44"/>
      <c r="F6" s="573" t="s">
        <v>2</v>
      </c>
      <c r="G6" s="477">
        <v>1</v>
      </c>
      <c r="H6" s="228" t="str">
        <f t="shared" ref="H6:H22" si="0">IF(ISNA(MATCH(G6,$D$6:$D$23,0)),"",INDEX($B$6:$B$23,MATCH(G6,$D$6:$D$23,0)))</f>
        <v/>
      </c>
      <c r="I6" s="125">
        <f>IF(J6=J7,0,IF(J6&lt;J7,2,4))</f>
        <v>0</v>
      </c>
      <c r="J6" s="576"/>
      <c r="K6" s="44"/>
      <c r="L6" s="570" t="s">
        <v>2</v>
      </c>
      <c r="M6" s="554" t="str">
        <f>IF(J22=J23,"Gagnant du 9",IF(J22&gt;J23,H22,H23))</f>
        <v/>
      </c>
      <c r="N6" s="441">
        <f>IF(O6=O7,0,IF(O6&lt;O7,0,2))</f>
        <v>0</v>
      </c>
      <c r="O6" s="576"/>
      <c r="P6" s="44"/>
      <c r="Q6" s="570" t="s">
        <v>2</v>
      </c>
      <c r="R6" s="519" t="str">
        <f>IF(O8=O9,"Gagnant du 5",IF(O8&gt;O9,M8,M9))</f>
        <v>Gagnant du 5</v>
      </c>
      <c r="S6" s="441">
        <f>IF(T6=T7,0,IF(T6&lt;T7,0,2))</f>
        <v>0</v>
      </c>
      <c r="T6" s="576"/>
      <c r="U6" s="44"/>
      <c r="V6" s="44"/>
      <c r="W6" s="44"/>
      <c r="X6" s="44"/>
      <c r="Y6" s="44"/>
      <c r="Z6" s="113"/>
      <c r="AA6" s="208">
        <v>1</v>
      </c>
      <c r="AB6" s="439">
        <f>+B6</f>
        <v>0</v>
      </c>
      <c r="AC6" s="154" t="str">
        <f>IF(ISNA(VLOOKUP(AB6,$H$6:$I$23,2,0)),"",VLOOKUP(AB6,$H$6:$I$23,2,0))</f>
        <v/>
      </c>
      <c r="AD6" s="211" t="str">
        <f>IF(ISNA(VLOOKUP(AB6,$M$6:$N$25,2,0)),"",VLOOKUP(AB6,$M$6:$N$25,2,0))</f>
        <v/>
      </c>
      <c r="AE6" s="211" t="str">
        <f>IF(ISNA(VLOOKUP(AB6,$R$6:$S$25,3,0)),"",VLOOKUP(AB6,$R$6:$S$25,2,0))</f>
        <v/>
      </c>
      <c r="AF6" s="211" t="str">
        <f>IF(ISNA(VLOOKUP(AB6,$W$7:$X$25,2,0)),"",VLOOKUP(AB6,$W$7:$X$25,2,0))</f>
        <v/>
      </c>
      <c r="AG6" s="541">
        <f>SUM(AC6:AF6)</f>
        <v>0</v>
      </c>
      <c r="AH6" s="319">
        <f t="shared" ref="AH6:AH23" si="1">IF(OR(AB6="",AG6=""),"",RANK(AG6,$AG$6:$AG$23)+COUNTIF(AB$6:AB$23,"&lt;="&amp;AB6+1)/10000+ROW()/100000)</f>
        <v>1.00176</v>
      </c>
      <c r="AI6" s="564">
        <f>IF(AB6="","",SMALL(AH$6:AH$23,ROWS(AL$6:AL6)))</f>
        <v>1.00023</v>
      </c>
      <c r="AJ6" s="651">
        <f>IF(AI6="","",1)</f>
        <v>1</v>
      </c>
      <c r="AK6" s="464" t="str">
        <f t="shared" ref="AK6:AK23" si="2">IF(OR(AB6="",AG6=""),"",INDEX($AB$6:$AB$23,MATCH(AI6,$AH$6:$AH$23,0)))</f>
        <v>OFFICE</v>
      </c>
      <c r="AL6" s="467">
        <f t="shared" ref="AL6:AL23" si="3">IF(AB6="","",INDEX($AG$6:$AG$23,MATCH(AI6,$AH$6:$AH$23,0)))</f>
        <v>0</v>
      </c>
      <c r="AM6" s="514"/>
      <c r="AN6" s="570" t="s">
        <v>115</v>
      </c>
      <c r="AO6" s="240">
        <v>2</v>
      </c>
      <c r="AP6" s="241" t="s">
        <v>242</v>
      </c>
      <c r="AQ6" s="581">
        <v>10</v>
      </c>
      <c r="AR6" s="113"/>
    </row>
    <row r="7" spans="1:46" ht="24.95" customHeight="1" thickBot="1">
      <c r="A7" s="94">
        <v>2</v>
      </c>
      <c r="B7" s="557"/>
      <c r="C7" s="558"/>
      <c r="D7" s="96"/>
      <c r="E7" s="44"/>
      <c r="F7" s="574">
        <v>1</v>
      </c>
      <c r="G7" s="478">
        <v>2</v>
      </c>
      <c r="H7" s="229" t="str">
        <f t="shared" si="0"/>
        <v/>
      </c>
      <c r="I7" s="129">
        <f>IF(J6=J7,0,IF(J6&gt;J7,2,4))</f>
        <v>0</v>
      </c>
      <c r="J7" s="577"/>
      <c r="K7" s="44"/>
      <c r="L7" s="571">
        <v>3</v>
      </c>
      <c r="M7" s="520" t="str">
        <f>IF(J8=J9,"Gagnant du 2",IF(J8&gt;J9,H8,H9))</f>
        <v>Gagnant du 2</v>
      </c>
      <c r="N7" s="130">
        <f>IF(O6=O7,0,IF(O6&gt;O7,0,2))</f>
        <v>0</v>
      </c>
      <c r="O7" s="577"/>
      <c r="P7" s="44"/>
      <c r="Q7" s="572">
        <v>2</v>
      </c>
      <c r="R7" s="542" t="str">
        <f>IF(O6=O7,"Gagnant du 3",IF(O6&gt;O7,M6,M7))</f>
        <v>Gagnant du 3</v>
      </c>
      <c r="S7" s="130">
        <f>IF(T6=T7,0,IF(T6&gt;T7,0,2))</f>
        <v>0</v>
      </c>
      <c r="T7" s="579"/>
      <c r="U7" s="44"/>
      <c r="V7" s="44"/>
      <c r="W7" s="371" t="s">
        <v>9</v>
      </c>
      <c r="X7" s="405" t="s">
        <v>108</v>
      </c>
      <c r="Y7" s="44" t="s">
        <v>107</v>
      </c>
      <c r="Z7" s="61"/>
      <c r="AA7" s="209">
        <v>2</v>
      </c>
      <c r="AB7" s="440">
        <f>+B7</f>
        <v>0</v>
      </c>
      <c r="AC7" s="155" t="str">
        <f t="shared" ref="AC7:AC23" si="4">IF(ISNA(VLOOKUP(AB7,$H$6:$I$23,2,0)),"",VLOOKUP(AB7,$H$6:$I$23,2,0))</f>
        <v/>
      </c>
      <c r="AD7" s="210" t="str">
        <f t="shared" ref="AD7:AD23" si="5">IF(ISNA(VLOOKUP(AB7,$M$6:$N$25,2,0)),"",VLOOKUP(AB7,$M$6:$N$25,2,0))</f>
        <v/>
      </c>
      <c r="AE7" s="210" t="str">
        <f t="shared" ref="AE7:AE23" si="6">IF(ISNA(VLOOKUP(AB7,$R$6:$S$25,3,0)),"",VLOOKUP(AB7,$R$6:$S$25,2,0))</f>
        <v/>
      </c>
      <c r="AF7" s="210" t="str">
        <f t="shared" ref="AF7:AF23" si="7">IF(ISNA(VLOOKUP(AB7,$W$7:$X$25,2,0)),"",VLOOKUP(AB7,$W$7:$X$25,2,0))</f>
        <v/>
      </c>
      <c r="AG7" s="537">
        <f t="shared" ref="AG7:AG23" si="8">SUM(AC7:AF7)</f>
        <v>0</v>
      </c>
      <c r="AH7" s="299">
        <f t="shared" si="1"/>
        <v>1.00177</v>
      </c>
      <c r="AI7" s="649">
        <f>IF(AB7="","",SMALL(AH$6:AH$23,ROWS(AL$6:AL7)))</f>
        <v>1.00176</v>
      </c>
      <c r="AJ7" s="652">
        <f>IF(AI7="","",IF(AND(AL6=AL7),$AJ6,$AJ$6+1))</f>
        <v>1</v>
      </c>
      <c r="AK7" s="465">
        <f t="shared" si="2"/>
        <v>0</v>
      </c>
      <c r="AL7" s="468">
        <f t="shared" si="3"/>
        <v>0</v>
      </c>
      <c r="AM7" s="514"/>
      <c r="AN7" s="580" t="s">
        <v>15</v>
      </c>
      <c r="AO7" s="242">
        <v>2</v>
      </c>
      <c r="AP7" s="243" t="s">
        <v>243</v>
      </c>
      <c r="AQ7" s="582">
        <v>8</v>
      </c>
      <c r="AR7" s="113"/>
    </row>
    <row r="8" spans="1:46" ht="24.95" customHeight="1">
      <c r="A8" s="94">
        <v>3</v>
      </c>
      <c r="B8" s="559"/>
      <c r="C8" s="560"/>
      <c r="D8" s="96"/>
      <c r="E8" s="44"/>
      <c r="F8" s="573" t="s">
        <v>2</v>
      </c>
      <c r="G8" s="477">
        <v>3</v>
      </c>
      <c r="H8" s="230" t="str">
        <f t="shared" si="0"/>
        <v/>
      </c>
      <c r="I8" s="125">
        <f>IF(J8=J9,0,IF(J8&lt;J9,2,4))</f>
        <v>0</v>
      </c>
      <c r="J8" s="578"/>
      <c r="K8" s="47"/>
      <c r="L8" s="570" t="s">
        <v>2</v>
      </c>
      <c r="M8" s="521" t="str">
        <f>IF(J10=J11,"Gagnant du 3",IF(J10&gt;J11,H10,H11))</f>
        <v>Gagnant du 3</v>
      </c>
      <c r="N8" s="172">
        <f>IF(O8=O9,0,IF(O8&lt;O9,0,2))</f>
        <v>0</v>
      </c>
      <c r="O8" s="576"/>
      <c r="P8" s="47"/>
      <c r="Q8" s="570" t="s">
        <v>2</v>
      </c>
      <c r="R8" s="519" t="str">
        <f>IF(O10=O11,"Gagnant du 7",IF(O10&gt;O11,M10,M11))</f>
        <v>Gagnant du 7</v>
      </c>
      <c r="S8" s="397">
        <v>1</v>
      </c>
      <c r="T8" s="121">
        <v>1</v>
      </c>
      <c r="U8" s="47"/>
      <c r="V8" s="570" t="s">
        <v>2</v>
      </c>
      <c r="W8" s="519" t="str">
        <f>IF(T6=T7,"Gagnant du 2",IF(T6&gt;T7,R6,R8))</f>
        <v>Gagnant du 2</v>
      </c>
      <c r="X8" s="441">
        <f>IF(Y8=Y9,0,IF(Y8&lt;Y9,0,2))</f>
        <v>0</v>
      </c>
      <c r="Y8" s="576"/>
      <c r="Z8" s="61"/>
      <c r="AA8" s="209">
        <v>3</v>
      </c>
      <c r="AB8" s="440">
        <f t="shared" ref="AB8:AB23" si="9">+B8</f>
        <v>0</v>
      </c>
      <c r="AC8" s="155" t="str">
        <f t="shared" si="4"/>
        <v/>
      </c>
      <c r="AD8" s="210" t="str">
        <f t="shared" si="5"/>
        <v/>
      </c>
      <c r="AE8" s="210" t="str">
        <f t="shared" si="6"/>
        <v/>
      </c>
      <c r="AF8" s="210" t="str">
        <f t="shared" si="7"/>
        <v/>
      </c>
      <c r="AG8" s="537">
        <f t="shared" si="8"/>
        <v>0</v>
      </c>
      <c r="AH8" s="299">
        <f t="shared" si="1"/>
        <v>1.0017800000000001</v>
      </c>
      <c r="AI8" s="649">
        <f>IF(AB8="","",SMALL(AH$6:AH$23,ROWS(AL$6:AL8)))</f>
        <v>1.00177</v>
      </c>
      <c r="AJ8" s="652">
        <f>IF(AI8="","",IF(AND(AL7=AL8),$AJ7,$AJ$6+2))</f>
        <v>1</v>
      </c>
      <c r="AK8" s="465">
        <f t="shared" si="2"/>
        <v>0</v>
      </c>
      <c r="AL8" s="468">
        <f t="shared" si="3"/>
        <v>0</v>
      </c>
      <c r="AM8" s="514"/>
      <c r="AN8" s="580" t="s">
        <v>114</v>
      </c>
      <c r="AO8" s="242">
        <v>2</v>
      </c>
      <c r="AP8" s="137" t="s">
        <v>258</v>
      </c>
      <c r="AQ8" s="582">
        <v>7</v>
      </c>
      <c r="AR8" s="61"/>
    </row>
    <row r="9" spans="1:46" ht="24.95" customHeight="1" thickBot="1">
      <c r="A9" s="94">
        <v>4</v>
      </c>
      <c r="B9" s="557"/>
      <c r="C9" s="558"/>
      <c r="D9" s="96"/>
      <c r="E9" s="44"/>
      <c r="F9" s="574">
        <v>2</v>
      </c>
      <c r="G9" s="478">
        <v>4</v>
      </c>
      <c r="H9" s="231" t="str">
        <f t="shared" si="0"/>
        <v/>
      </c>
      <c r="I9" s="129">
        <f>IF(J8=J9,0,IF(J8&gt;J9,2,4))</f>
        <v>0</v>
      </c>
      <c r="J9" s="579"/>
      <c r="K9" s="44"/>
      <c r="L9" s="571">
        <v>5</v>
      </c>
      <c r="M9" s="520" t="str">
        <f>IF(J12=J13,"Gagnant du 4",IF(J12&gt;J13,H12,H13))</f>
        <v>Gagnant du 4</v>
      </c>
      <c r="N9" s="130">
        <f>IF(O8=O9,0,IF(O8&gt;O9,0,2))</f>
        <v>0</v>
      </c>
      <c r="O9" s="577"/>
      <c r="P9" s="44"/>
      <c r="Q9" s="571"/>
      <c r="R9" s="118" t="s">
        <v>105</v>
      </c>
      <c r="S9" s="398">
        <v>0</v>
      </c>
      <c r="T9" s="122"/>
      <c r="U9" s="44"/>
      <c r="V9" s="571">
        <v>1</v>
      </c>
      <c r="W9" s="520" t="str">
        <f>IF(T10=T11,"Gagnant du 6",IF(T10&gt;T11,R10,R11))</f>
        <v>Gagnant du 6</v>
      </c>
      <c r="X9" s="130">
        <f>IF(Y8=Y9,0,IF(Y8&gt;Y9,0,2))</f>
        <v>0</v>
      </c>
      <c r="Y9" s="577"/>
      <c r="Z9" s="113"/>
      <c r="AA9" s="209">
        <v>4</v>
      </c>
      <c r="AB9" s="440">
        <f t="shared" si="9"/>
        <v>0</v>
      </c>
      <c r="AC9" s="155" t="str">
        <f t="shared" si="4"/>
        <v/>
      </c>
      <c r="AD9" s="210" t="str">
        <f t="shared" si="5"/>
        <v/>
      </c>
      <c r="AE9" s="210" t="str">
        <f t="shared" si="6"/>
        <v/>
      </c>
      <c r="AF9" s="210" t="str">
        <f t="shared" si="7"/>
        <v/>
      </c>
      <c r="AG9" s="537">
        <f t="shared" si="8"/>
        <v>0</v>
      </c>
      <c r="AH9" s="299">
        <f t="shared" si="1"/>
        <v>1.00179</v>
      </c>
      <c r="AI9" s="649">
        <f>IF(AB9="","",SMALL(AH$6:AH$23,ROWS(AL$6:AL9)))</f>
        <v>1.0017800000000001</v>
      </c>
      <c r="AJ9" s="652">
        <f>IF(AI9="","",IF(AND(AL8=AL9),$AJ8,$AJ$6+3))</f>
        <v>1</v>
      </c>
      <c r="AK9" s="465">
        <f t="shared" si="2"/>
        <v>0</v>
      </c>
      <c r="AL9" s="468">
        <f t="shared" si="3"/>
        <v>0</v>
      </c>
      <c r="AM9" s="514"/>
      <c r="AN9" s="580" t="s">
        <v>114</v>
      </c>
      <c r="AO9" s="242">
        <v>2</v>
      </c>
      <c r="AP9" s="137" t="s">
        <v>256</v>
      </c>
      <c r="AQ9" s="582">
        <v>5</v>
      </c>
      <c r="AR9" s="61"/>
    </row>
    <row r="10" spans="1:46" ht="24.95" customHeight="1" thickBot="1">
      <c r="A10" s="94">
        <v>5</v>
      </c>
      <c r="B10" s="559"/>
      <c r="C10" s="560"/>
      <c r="D10" s="96"/>
      <c r="E10" s="44"/>
      <c r="F10" s="573" t="s">
        <v>2</v>
      </c>
      <c r="G10" s="477">
        <v>5</v>
      </c>
      <c r="H10" s="228" t="str">
        <f t="shared" si="0"/>
        <v/>
      </c>
      <c r="I10" s="125">
        <f>IF(J10=J11,0,IF(J10&lt;J11,2,4))</f>
        <v>0</v>
      </c>
      <c r="J10" s="576"/>
      <c r="K10" s="44"/>
      <c r="L10" s="570" t="s">
        <v>2</v>
      </c>
      <c r="M10" s="521" t="str">
        <f>IF(J14=J15,"Gagnant du 5",IF(J14&gt;J15,H14,H15))</f>
        <v>Gagnant du 5</v>
      </c>
      <c r="N10" s="441">
        <f>IF(O10=O11,0,IF(O10&lt;O11,0,2))</f>
        <v>0</v>
      </c>
      <c r="O10" s="576"/>
      <c r="P10" s="44"/>
      <c r="Q10" s="575" t="s">
        <v>2</v>
      </c>
      <c r="R10" s="521" t="str">
        <f>IF(O12=O13,"Gagnant du 1",IF(O12&gt;O13,M12,M13))</f>
        <v>Gagnant du 1</v>
      </c>
      <c r="S10" s="441">
        <f>IF(T10=T11,0,IF(T10&lt;T11,0,2))</f>
        <v>0</v>
      </c>
      <c r="T10" s="578"/>
      <c r="U10" s="44"/>
      <c r="V10" s="44"/>
      <c r="W10" s="131"/>
      <c r="X10" s="131"/>
      <c r="Y10" s="44"/>
      <c r="Z10" s="113"/>
      <c r="AA10" s="209">
        <v>5</v>
      </c>
      <c r="AB10" s="440">
        <f t="shared" si="9"/>
        <v>0</v>
      </c>
      <c r="AC10" s="155" t="str">
        <f t="shared" si="4"/>
        <v/>
      </c>
      <c r="AD10" s="210" t="str">
        <f t="shared" si="5"/>
        <v/>
      </c>
      <c r="AE10" s="210" t="str">
        <f t="shared" si="6"/>
        <v/>
      </c>
      <c r="AF10" s="210" t="str">
        <f t="shared" si="7"/>
        <v/>
      </c>
      <c r="AG10" s="537">
        <f t="shared" si="8"/>
        <v>0</v>
      </c>
      <c r="AH10" s="299">
        <f t="shared" si="1"/>
        <v>1.0018</v>
      </c>
      <c r="AI10" s="649">
        <f>IF(AB10="","",SMALL(AH$6:AH$23,ROWS(AL$6:AL10)))</f>
        <v>1.00179</v>
      </c>
      <c r="AJ10" s="652">
        <f>IF(AI10="","",IF(AND(AL9=AL10),$AJ9,$AJ$6+4))</f>
        <v>1</v>
      </c>
      <c r="AK10" s="465">
        <f t="shared" si="2"/>
        <v>0</v>
      </c>
      <c r="AL10" s="468">
        <f t="shared" si="3"/>
        <v>0</v>
      </c>
      <c r="AM10" s="514"/>
      <c r="AN10" s="580" t="s">
        <v>114</v>
      </c>
      <c r="AO10" s="250">
        <v>2</v>
      </c>
      <c r="AP10" s="138" t="s">
        <v>257</v>
      </c>
      <c r="AQ10" s="583">
        <v>5</v>
      </c>
      <c r="AR10" s="113"/>
    </row>
    <row r="11" spans="1:46" ht="24.95" customHeight="1" thickBot="1">
      <c r="A11" s="94">
        <v>6</v>
      </c>
      <c r="B11" s="557"/>
      <c r="C11" s="558"/>
      <c r="D11" s="96"/>
      <c r="E11" s="44"/>
      <c r="F11" s="574">
        <v>3</v>
      </c>
      <c r="G11" s="478">
        <v>6</v>
      </c>
      <c r="H11" s="229" t="str">
        <f t="shared" si="0"/>
        <v/>
      </c>
      <c r="I11" s="129">
        <f>IF(J10=J11,0,IF(J10&gt;J11,2,4))</f>
        <v>0</v>
      </c>
      <c r="J11" s="577"/>
      <c r="K11" s="47"/>
      <c r="L11" s="571">
        <v>7</v>
      </c>
      <c r="M11" s="520" t="str">
        <f>IF(J16=J17,"Gagnant du 6",IF(J16&gt;J17,H16,H17))</f>
        <v>Gagnant du 6</v>
      </c>
      <c r="N11" s="130">
        <f>IF(O10=O11,0,IF(O10&gt;O11,0,2))</f>
        <v>0</v>
      </c>
      <c r="O11" s="577"/>
      <c r="P11" s="47"/>
      <c r="Q11" s="282">
        <v>6</v>
      </c>
      <c r="R11" s="520" t="str">
        <f>IF(O14=O15,"Gagnant du 9",IF(O14&gt;O15,M14,M15))</f>
        <v>Gagnant du 1</v>
      </c>
      <c r="S11" s="130">
        <f>IF(T10=T11,0,IF(T10&gt;T11,0,2))</f>
        <v>0</v>
      </c>
      <c r="T11" s="577"/>
      <c r="U11" s="47"/>
      <c r="V11" s="44"/>
      <c r="W11" s="131"/>
      <c r="X11" s="131"/>
      <c r="Y11" s="44"/>
      <c r="Z11" s="61"/>
      <c r="AA11" s="209">
        <v>6</v>
      </c>
      <c r="AB11" s="440">
        <f t="shared" si="9"/>
        <v>0</v>
      </c>
      <c r="AC11" s="155" t="str">
        <f t="shared" si="4"/>
        <v/>
      </c>
      <c r="AD11" s="210" t="str">
        <f t="shared" si="5"/>
        <v/>
      </c>
      <c r="AE11" s="210" t="str">
        <f t="shared" si="6"/>
        <v/>
      </c>
      <c r="AF11" s="210" t="str">
        <f t="shared" si="7"/>
        <v/>
      </c>
      <c r="AG11" s="537">
        <f t="shared" si="8"/>
        <v>0</v>
      </c>
      <c r="AH11" s="299">
        <f t="shared" si="1"/>
        <v>1.0018100000000001</v>
      </c>
      <c r="AI11" s="649">
        <f>IF(AB11="","",SMALL(AH$6:AH$23,ROWS(AL$6:AL11)))</f>
        <v>1.0018</v>
      </c>
      <c r="AJ11" s="652">
        <f>IF(AI11="","",IF(AND(AL10=AL11),$AJ10,$AJ$6+5))</f>
        <v>1</v>
      </c>
      <c r="AK11" s="465">
        <f t="shared" si="2"/>
        <v>0</v>
      </c>
      <c r="AL11" s="468">
        <f t="shared" si="3"/>
        <v>0</v>
      </c>
      <c r="AM11" s="514"/>
      <c r="AN11" s="483" t="s">
        <v>118</v>
      </c>
      <c r="AO11" s="240">
        <v>2</v>
      </c>
      <c r="AP11" s="245" t="s">
        <v>247</v>
      </c>
      <c r="AQ11" s="543">
        <v>6</v>
      </c>
      <c r="AR11" s="113"/>
    </row>
    <row r="12" spans="1:46" ht="24.95" customHeight="1">
      <c r="A12" s="94">
        <v>7</v>
      </c>
      <c r="B12" s="559"/>
      <c r="C12" s="560"/>
      <c r="D12" s="96"/>
      <c r="E12" s="44"/>
      <c r="F12" s="573" t="s">
        <v>2</v>
      </c>
      <c r="G12" s="477">
        <v>7</v>
      </c>
      <c r="H12" s="230" t="str">
        <f t="shared" si="0"/>
        <v/>
      </c>
      <c r="I12" s="125">
        <f>IF(J12=J13,0,IF(J12&lt;J13,2,4))</f>
        <v>0</v>
      </c>
      <c r="J12" s="578"/>
      <c r="K12" s="44"/>
      <c r="L12" s="570" t="s">
        <v>2</v>
      </c>
      <c r="M12" s="521" t="str">
        <f>IF(J18=J19,"Gagnant du 7",IF(J18&gt;J19,H18,H19))</f>
        <v>Gagnant du 7</v>
      </c>
      <c r="N12" s="172">
        <f>IF(O12=O13,0,IF(O12&lt;O13,0,2))</f>
        <v>0</v>
      </c>
      <c r="O12" s="576"/>
      <c r="P12" s="44"/>
      <c r="Q12" s="61"/>
      <c r="R12" s="221"/>
      <c r="S12" s="147"/>
      <c r="T12" s="61"/>
      <c r="U12" s="44"/>
      <c r="W12" s="533"/>
      <c r="X12" s="143"/>
      <c r="Z12" s="113"/>
      <c r="AA12" s="209">
        <v>7</v>
      </c>
      <c r="AB12" s="440">
        <f t="shared" si="9"/>
        <v>0</v>
      </c>
      <c r="AC12" s="155" t="str">
        <f t="shared" si="4"/>
        <v/>
      </c>
      <c r="AD12" s="210" t="str">
        <f t="shared" si="5"/>
        <v/>
      </c>
      <c r="AE12" s="210" t="str">
        <f t="shared" si="6"/>
        <v/>
      </c>
      <c r="AF12" s="210" t="str">
        <f t="shared" si="7"/>
        <v/>
      </c>
      <c r="AG12" s="537">
        <f t="shared" si="8"/>
        <v>0</v>
      </c>
      <c r="AH12" s="299">
        <f t="shared" si="1"/>
        <v>1.0018199999999999</v>
      </c>
      <c r="AI12" s="649">
        <f>IF(AB12="","",SMALL(AH$6:AH$23,ROWS(AL$6:AL12)))</f>
        <v>1.0018100000000001</v>
      </c>
      <c r="AJ12" s="652">
        <f>IF(AI12="","",IF(AND(AL11=AL12),$AJ11,$AJ$6+6))</f>
        <v>1</v>
      </c>
      <c r="AK12" s="465">
        <f t="shared" si="2"/>
        <v>0</v>
      </c>
      <c r="AL12" s="468">
        <f t="shared" si="3"/>
        <v>0</v>
      </c>
      <c r="AM12" s="514"/>
      <c r="AN12" s="487" t="s">
        <v>20</v>
      </c>
      <c r="AO12" s="242">
        <v>2</v>
      </c>
      <c r="AP12" s="243" t="s">
        <v>248</v>
      </c>
      <c r="AQ12" s="544">
        <v>5</v>
      </c>
      <c r="AR12" s="61"/>
    </row>
    <row r="13" spans="1:46" ht="24.95" customHeight="1" thickBot="1">
      <c r="A13" s="94">
        <v>8</v>
      </c>
      <c r="B13" s="557"/>
      <c r="C13" s="558"/>
      <c r="D13" s="96"/>
      <c r="E13" s="44"/>
      <c r="F13" s="574">
        <v>4</v>
      </c>
      <c r="G13" s="478">
        <v>8</v>
      </c>
      <c r="H13" s="231" t="str">
        <f t="shared" si="0"/>
        <v/>
      </c>
      <c r="I13" s="129">
        <f>IF(J12=J13,0,IF(J12&gt;J13,2,4))</f>
        <v>0</v>
      </c>
      <c r="J13" s="579"/>
      <c r="K13" s="44"/>
      <c r="L13" s="572">
        <v>1</v>
      </c>
      <c r="M13" s="520" t="str">
        <f>IF(J20=J21,"Gagnant du 8",IF(J20&gt;J21,H20,H21))</f>
        <v>Gagnant du 8</v>
      </c>
      <c r="N13" s="130">
        <f>IF(O12=O13,0,IF(O12&gt;O13,0,2))</f>
        <v>0</v>
      </c>
      <c r="O13" s="579"/>
      <c r="P13" s="44"/>
      <c r="Q13" s="44"/>
      <c r="R13" s="533"/>
      <c r="S13" s="131"/>
      <c r="T13" s="44"/>
      <c r="U13" s="44"/>
      <c r="W13" s="533"/>
      <c r="X13" s="143"/>
      <c r="Z13" s="61"/>
      <c r="AA13" s="209">
        <v>8</v>
      </c>
      <c r="AB13" s="440">
        <f t="shared" si="9"/>
        <v>0</v>
      </c>
      <c r="AC13" s="155" t="str">
        <f t="shared" si="4"/>
        <v/>
      </c>
      <c r="AD13" s="210" t="str">
        <f t="shared" si="5"/>
        <v/>
      </c>
      <c r="AE13" s="210" t="str">
        <f t="shared" si="6"/>
        <v/>
      </c>
      <c r="AF13" s="210" t="str">
        <f t="shared" si="7"/>
        <v/>
      </c>
      <c r="AG13" s="537">
        <f t="shared" si="8"/>
        <v>0</v>
      </c>
      <c r="AH13" s="299">
        <f t="shared" si="1"/>
        <v>1.00183</v>
      </c>
      <c r="AI13" s="649">
        <f>IF(AB13="","",SMALL(AH$6:AH$23,ROWS(AL$6:AL13)))</f>
        <v>1.0018199999999999</v>
      </c>
      <c r="AJ13" s="652">
        <f>IF(AI13="","",IF(AND(AL12=AL13),$AJ12,$AJ$6+7))</f>
        <v>1</v>
      </c>
      <c r="AK13" s="465">
        <f t="shared" si="2"/>
        <v>0</v>
      </c>
      <c r="AL13" s="468">
        <f t="shared" si="3"/>
        <v>0</v>
      </c>
      <c r="AM13" s="514"/>
      <c r="AN13" s="487" t="s">
        <v>65</v>
      </c>
      <c r="AO13" s="242">
        <v>2</v>
      </c>
      <c r="AP13" s="243" t="s">
        <v>245</v>
      </c>
      <c r="AQ13" s="544">
        <v>4</v>
      </c>
      <c r="AR13" s="61"/>
    </row>
    <row r="14" spans="1:46" ht="24.95" customHeight="1" thickBot="1">
      <c r="A14" s="94">
        <v>9</v>
      </c>
      <c r="B14" s="559"/>
      <c r="C14" s="560"/>
      <c r="D14" s="96"/>
      <c r="E14" s="44"/>
      <c r="F14" s="573" t="s">
        <v>2</v>
      </c>
      <c r="G14" s="477">
        <v>9</v>
      </c>
      <c r="H14" s="228" t="str">
        <f t="shared" si="0"/>
        <v/>
      </c>
      <c r="I14" s="125">
        <f>IF(J14=J15,0,IF(J14&lt;J15,2,4))</f>
        <v>0</v>
      </c>
      <c r="J14" s="576"/>
      <c r="K14" s="44"/>
      <c r="L14" s="570" t="s">
        <v>2</v>
      </c>
      <c r="M14" s="519" t="str">
        <f>IF(J6=J7,"Gagnant du 1",IF(J6&gt;J7,H6,H7))</f>
        <v>Gagnant du 1</v>
      </c>
      <c r="N14" s="397">
        <v>1</v>
      </c>
      <c r="O14" s="121">
        <v>1</v>
      </c>
      <c r="P14" s="44"/>
      <c r="Q14" s="44"/>
      <c r="R14" s="147" t="s">
        <v>51</v>
      </c>
      <c r="S14" s="131"/>
      <c r="T14" s="44"/>
      <c r="U14" s="44"/>
      <c r="W14" s="533"/>
      <c r="X14" s="143"/>
      <c r="Z14" s="61"/>
      <c r="AA14" s="209">
        <v>9</v>
      </c>
      <c r="AB14" s="440">
        <f t="shared" si="9"/>
        <v>0</v>
      </c>
      <c r="AC14" s="155" t="str">
        <f t="shared" si="4"/>
        <v/>
      </c>
      <c r="AD14" s="210" t="str">
        <f t="shared" si="5"/>
        <v/>
      </c>
      <c r="AE14" s="210" t="str">
        <f t="shared" si="6"/>
        <v/>
      </c>
      <c r="AF14" s="210" t="str">
        <f t="shared" si="7"/>
        <v/>
      </c>
      <c r="AG14" s="537">
        <f t="shared" si="8"/>
        <v>0</v>
      </c>
      <c r="AH14" s="299">
        <f t="shared" si="1"/>
        <v>1.0018400000000001</v>
      </c>
      <c r="AI14" s="649">
        <f>IF(AB14="","",SMALL(AH$6:AH$23,ROWS(AL$6:AL14)))</f>
        <v>1.00183</v>
      </c>
      <c r="AJ14" s="652">
        <f>IF(AI14="","",IF(AND(AL13=AL14),$AJ13,$AJ$6+8))</f>
        <v>1</v>
      </c>
      <c r="AK14" s="465">
        <f t="shared" si="2"/>
        <v>0</v>
      </c>
      <c r="AL14" s="468">
        <f t="shared" si="3"/>
        <v>0</v>
      </c>
      <c r="AM14" s="514"/>
      <c r="AN14" s="488" t="s">
        <v>65</v>
      </c>
      <c r="AO14" s="262">
        <v>2</v>
      </c>
      <c r="AP14" s="247" t="s">
        <v>245</v>
      </c>
      <c r="AQ14" s="544">
        <v>4</v>
      </c>
      <c r="AR14" s="113"/>
    </row>
    <row r="15" spans="1:46" ht="24.95" customHeight="1" thickBot="1">
      <c r="A15" s="94">
        <v>10</v>
      </c>
      <c r="B15" s="557"/>
      <c r="C15" s="558"/>
      <c r="D15" s="96"/>
      <c r="E15" s="44"/>
      <c r="F15" s="574">
        <v>5</v>
      </c>
      <c r="G15" s="478">
        <v>10</v>
      </c>
      <c r="H15" s="229" t="str">
        <f t="shared" si="0"/>
        <v/>
      </c>
      <c r="I15" s="129">
        <f>IF(J14=J15,0,IF(J14&gt;J15,2,4))</f>
        <v>0</v>
      </c>
      <c r="J15" s="577"/>
      <c r="K15" s="44"/>
      <c r="L15" s="282">
        <v>9</v>
      </c>
      <c r="M15" s="118" t="s">
        <v>105</v>
      </c>
      <c r="N15" s="398">
        <v>0</v>
      </c>
      <c r="O15" s="122"/>
      <c r="P15" s="44"/>
      <c r="Q15" s="522" t="s">
        <v>2</v>
      </c>
      <c r="R15" s="528" t="str">
        <f>IF(O20=O21,"Gagnant du 2",IF(O20&gt;O21,M20,M21))</f>
        <v>Gagnant du 2</v>
      </c>
      <c r="S15" s="177">
        <f>IF(T15=T16,0,IF(T15&lt;T16,0,1))</f>
        <v>0</v>
      </c>
      <c r="T15" s="631"/>
      <c r="U15" s="44"/>
      <c r="V15" s="44"/>
      <c r="W15" s="167" t="s">
        <v>10</v>
      </c>
      <c r="X15" s="167"/>
      <c r="Y15" s="44"/>
      <c r="Z15" s="113"/>
      <c r="AA15" s="209">
        <v>10</v>
      </c>
      <c r="AB15" s="440">
        <f t="shared" si="9"/>
        <v>0</v>
      </c>
      <c r="AC15" s="155" t="str">
        <f t="shared" si="4"/>
        <v/>
      </c>
      <c r="AD15" s="210" t="str">
        <f t="shared" si="5"/>
        <v/>
      </c>
      <c r="AE15" s="210" t="str">
        <f t="shared" si="6"/>
        <v/>
      </c>
      <c r="AF15" s="210" t="str">
        <f t="shared" si="7"/>
        <v/>
      </c>
      <c r="AG15" s="537">
        <f t="shared" si="8"/>
        <v>0</v>
      </c>
      <c r="AH15" s="299">
        <f t="shared" si="1"/>
        <v>1.0018500000000001</v>
      </c>
      <c r="AI15" s="649">
        <f>IF(AB15="","",SMALL(AH$6:AH$23,ROWS(AL$6:AL15)))</f>
        <v>1.0018400000000001</v>
      </c>
      <c r="AJ15" s="652">
        <f>IF(AI15="","",IF(AND(AL14=AL15),$AJ14,$AJ$6+9))</f>
        <v>1</v>
      </c>
      <c r="AK15" s="465">
        <f t="shared" si="2"/>
        <v>0</v>
      </c>
      <c r="AL15" s="468">
        <f t="shared" si="3"/>
        <v>0</v>
      </c>
      <c r="AM15" s="514"/>
      <c r="AN15" s="546" t="s">
        <v>117</v>
      </c>
      <c r="AO15" s="240">
        <v>2</v>
      </c>
      <c r="AP15" s="245" t="s">
        <v>249</v>
      </c>
      <c r="AQ15" s="550">
        <v>5</v>
      </c>
      <c r="AR15" s="113"/>
    </row>
    <row r="16" spans="1:46" ht="24.95" customHeight="1" thickBot="1">
      <c r="A16" s="94">
        <v>11</v>
      </c>
      <c r="B16" s="559"/>
      <c r="C16" s="560"/>
      <c r="D16" s="96"/>
      <c r="E16" s="44"/>
      <c r="F16" s="573" t="s">
        <v>2</v>
      </c>
      <c r="G16" s="477">
        <v>11</v>
      </c>
      <c r="H16" s="230" t="str">
        <f t="shared" si="0"/>
        <v/>
      </c>
      <c r="I16" s="125">
        <f>IF(J16=J17,0,IF(J16&lt;J17,2,4))</f>
        <v>0</v>
      </c>
      <c r="J16" s="578"/>
      <c r="K16" s="44"/>
      <c r="M16" s="143"/>
      <c r="N16" s="143"/>
      <c r="P16" s="44"/>
      <c r="Q16" s="524">
        <v>5</v>
      </c>
      <c r="R16" s="532" t="str">
        <f>IF(O18=O19,"Gagnant du 8",IF(O18&gt;O19,M18,M19))</f>
        <v>Gagnant du 8</v>
      </c>
      <c r="S16" s="178">
        <f>IF(T15=T16,0,IF(T15&gt;T16,0,1))</f>
        <v>0</v>
      </c>
      <c r="T16" s="632"/>
      <c r="U16" s="44"/>
      <c r="V16" s="522" t="s">
        <v>2</v>
      </c>
      <c r="W16" s="528" t="str">
        <f>IF(T17=T18,"Gagnant du 3",IF(T17&gt;T18,R17,R18))</f>
        <v>Gagnant du 3</v>
      </c>
      <c r="X16" s="172">
        <f>IF(Y15=Y16,0,IF(Y15&gt;Y16,0,1))</f>
        <v>0</v>
      </c>
      <c r="Y16" s="631"/>
      <c r="Z16" s="113"/>
      <c r="AA16" s="209">
        <v>11</v>
      </c>
      <c r="AB16" s="440">
        <f t="shared" si="9"/>
        <v>0</v>
      </c>
      <c r="AC16" s="155" t="str">
        <f t="shared" si="4"/>
        <v/>
      </c>
      <c r="AD16" s="210" t="str">
        <f t="shared" si="5"/>
        <v/>
      </c>
      <c r="AE16" s="210" t="str">
        <f t="shared" si="6"/>
        <v/>
      </c>
      <c r="AF16" s="210" t="str">
        <f t="shared" si="7"/>
        <v/>
      </c>
      <c r="AG16" s="537">
        <f t="shared" si="8"/>
        <v>0</v>
      </c>
      <c r="AH16" s="299">
        <f t="shared" si="1"/>
        <v>1.00186</v>
      </c>
      <c r="AI16" s="649">
        <f>IF(AB16="","",SMALL(AH$6:AH$23,ROWS(AL$6:AL16)))</f>
        <v>1.0018500000000001</v>
      </c>
      <c r="AJ16" s="652">
        <f>IF(AI16="","",IF(AND(AL15=AL16),$AJ15,$AJ$6+10))</f>
        <v>1</v>
      </c>
      <c r="AK16" s="465">
        <f t="shared" si="2"/>
        <v>0</v>
      </c>
      <c r="AL16" s="468">
        <f t="shared" si="3"/>
        <v>0</v>
      </c>
      <c r="AM16" s="514"/>
      <c r="AN16" s="547" t="s">
        <v>18</v>
      </c>
      <c r="AO16" s="242">
        <v>2</v>
      </c>
      <c r="AP16" s="243" t="s">
        <v>250</v>
      </c>
      <c r="AQ16" s="551">
        <v>4</v>
      </c>
      <c r="AR16" s="113"/>
    </row>
    <row r="17" spans="1:46" ht="24.95" customHeight="1" thickBot="1">
      <c r="A17" s="94">
        <v>12</v>
      </c>
      <c r="B17" s="557"/>
      <c r="C17" s="558"/>
      <c r="D17" s="96"/>
      <c r="E17" s="44"/>
      <c r="F17" s="574">
        <v>6</v>
      </c>
      <c r="G17" s="478">
        <v>12</v>
      </c>
      <c r="H17" s="231" t="str">
        <f t="shared" si="0"/>
        <v/>
      </c>
      <c r="I17" s="129">
        <f>IF(J16=J17,0,IF(J16&gt;J17,2,4))</f>
        <v>0</v>
      </c>
      <c r="J17" s="579"/>
      <c r="K17" s="44"/>
      <c r="L17" s="44"/>
      <c r="M17" s="369" t="s">
        <v>7</v>
      </c>
      <c r="N17" s="167"/>
      <c r="O17" s="44"/>
      <c r="P17" s="44"/>
      <c r="Q17" s="522" t="s">
        <v>2</v>
      </c>
      <c r="R17" s="528" t="str">
        <f>IF(O22=O23,"Gagnant du 4",IF(O22&gt;O23,M22,M23))</f>
        <v>Gagnant du 4</v>
      </c>
      <c r="S17" s="177">
        <f>IF(T17=T18,0,IF(T17&lt;T18,0,1))</f>
        <v>0</v>
      </c>
      <c r="T17" s="631"/>
      <c r="U17" s="44"/>
      <c r="V17" s="524">
        <v>4</v>
      </c>
      <c r="W17" s="520" t="str">
        <f>IF(T15=T16,"Gagnant du 5",IF(T15&gt;T16,R15,R16))</f>
        <v>Gagnant du 5</v>
      </c>
      <c r="X17" s="130">
        <f>IF(Y16=Y17,0,IF(Y16&gt;Y17,0,1))</f>
        <v>0</v>
      </c>
      <c r="Y17" s="632"/>
      <c r="Z17" s="113"/>
      <c r="AA17" s="209">
        <v>12</v>
      </c>
      <c r="AB17" s="440">
        <f t="shared" si="9"/>
        <v>0</v>
      </c>
      <c r="AC17" s="155" t="str">
        <f t="shared" si="4"/>
        <v/>
      </c>
      <c r="AD17" s="210" t="str">
        <f t="shared" si="5"/>
        <v/>
      </c>
      <c r="AE17" s="210" t="str">
        <f t="shared" si="6"/>
        <v/>
      </c>
      <c r="AF17" s="210" t="str">
        <f t="shared" si="7"/>
        <v/>
      </c>
      <c r="AG17" s="537">
        <f t="shared" si="8"/>
        <v>0</v>
      </c>
      <c r="AH17" s="299">
        <f t="shared" si="1"/>
        <v>1.00187</v>
      </c>
      <c r="AI17" s="649">
        <f>IF(AB17="","",SMALL(AH$6:AH$23,ROWS(AL$6:AL17)))</f>
        <v>1.00186</v>
      </c>
      <c r="AJ17" s="652">
        <f>IF(AI17="","",IF(AND(AL16=AL17),$AJ16,$AJ$6+11))</f>
        <v>1</v>
      </c>
      <c r="AK17" s="465">
        <f t="shared" si="2"/>
        <v>0</v>
      </c>
      <c r="AL17" s="468">
        <f t="shared" si="3"/>
        <v>0</v>
      </c>
      <c r="AM17" s="514"/>
      <c r="AN17" s="548" t="s">
        <v>64</v>
      </c>
      <c r="AO17" s="242">
        <v>2</v>
      </c>
      <c r="AP17" s="243" t="s">
        <v>251</v>
      </c>
      <c r="AQ17" s="552">
        <v>3</v>
      </c>
      <c r="AR17" s="61"/>
    </row>
    <row r="18" spans="1:46" ht="24.95" customHeight="1" thickBot="1">
      <c r="A18" s="94">
        <v>13</v>
      </c>
      <c r="B18" s="559"/>
      <c r="C18" s="560"/>
      <c r="D18" s="96"/>
      <c r="E18" s="44"/>
      <c r="F18" s="573" t="s">
        <v>2</v>
      </c>
      <c r="G18" s="477">
        <v>13</v>
      </c>
      <c r="H18" s="228" t="str">
        <f t="shared" si="0"/>
        <v/>
      </c>
      <c r="I18" s="125">
        <f>IF(J18=J19,0,IF(J18&lt;J19,2,4))</f>
        <v>0</v>
      </c>
      <c r="J18" s="576"/>
      <c r="K18" s="44"/>
      <c r="L18" s="522" t="s">
        <v>2</v>
      </c>
      <c r="M18" s="528" t="str">
        <f>IF(J6=J7,"Perdant du 1",IF(J6&lt;J7,H6,H7))</f>
        <v>Perdant du 1</v>
      </c>
      <c r="N18" s="172">
        <f>IF(O18=O19,0,IF(O18&lt;O19,0,1))</f>
        <v>0</v>
      </c>
      <c r="O18" s="631"/>
      <c r="P18" s="44"/>
      <c r="Q18" s="524">
        <v>3</v>
      </c>
      <c r="R18" s="520" t="str">
        <f>IF(O24=O25,"Gagnant du 6",IF(O24&gt;O25,M24,M25))</f>
        <v>Gagnant du 6</v>
      </c>
      <c r="S18" s="178">
        <f>IF(T17=T18,0,IF(T17&gt;T18,0,1))</f>
        <v>0</v>
      </c>
      <c r="T18" s="632"/>
      <c r="U18" s="44"/>
      <c r="W18" s="533"/>
      <c r="X18" s="143"/>
      <c r="Z18" s="113"/>
      <c r="AA18" s="209">
        <v>13</v>
      </c>
      <c r="AB18" s="440">
        <f t="shared" si="9"/>
        <v>0</v>
      </c>
      <c r="AC18" s="155" t="str">
        <f t="shared" si="4"/>
        <v/>
      </c>
      <c r="AD18" s="210" t="str">
        <f t="shared" si="5"/>
        <v/>
      </c>
      <c r="AE18" s="210" t="str">
        <f t="shared" si="6"/>
        <v/>
      </c>
      <c r="AF18" s="210" t="str">
        <f t="shared" si="7"/>
        <v/>
      </c>
      <c r="AG18" s="537">
        <f t="shared" si="8"/>
        <v>0</v>
      </c>
      <c r="AH18" s="299">
        <f t="shared" si="1"/>
        <v>1.0018800000000001</v>
      </c>
      <c r="AI18" s="649">
        <f>IF(AB18="","",SMALL(AH$6:AH$23,ROWS(AL$6:AL18)))</f>
        <v>1.00187</v>
      </c>
      <c r="AJ18" s="652">
        <f>IF(AI18="","",IF(AND(AL17=AL18),$AJ17,$AJ$6+12))</f>
        <v>1</v>
      </c>
      <c r="AK18" s="465">
        <f t="shared" si="2"/>
        <v>0</v>
      </c>
      <c r="AL18" s="468">
        <f t="shared" si="3"/>
        <v>0</v>
      </c>
      <c r="AM18" s="514"/>
      <c r="AN18" s="549" t="s">
        <v>64</v>
      </c>
      <c r="AO18" s="250">
        <v>2</v>
      </c>
      <c r="AP18" s="247" t="s">
        <v>251</v>
      </c>
      <c r="AQ18" s="553">
        <v>3</v>
      </c>
      <c r="AR18" s="61"/>
    </row>
    <row r="19" spans="1:46" ht="24.95" customHeight="1" thickBot="1">
      <c r="A19" s="94">
        <v>14</v>
      </c>
      <c r="B19" s="557"/>
      <c r="C19" s="558"/>
      <c r="D19" s="96"/>
      <c r="E19" s="44"/>
      <c r="F19" s="574">
        <v>7</v>
      </c>
      <c r="G19" s="478">
        <v>14</v>
      </c>
      <c r="H19" s="229" t="str">
        <f t="shared" si="0"/>
        <v/>
      </c>
      <c r="I19" s="129">
        <f>IF(J18=J19,0,IF(J18&gt;J19,2,4))</f>
        <v>0</v>
      </c>
      <c r="J19" s="577"/>
      <c r="K19" s="44"/>
      <c r="L19" s="524">
        <v>8</v>
      </c>
      <c r="M19" s="521" t="str">
        <f>IF(J8=J9,"Perdant du 2",IF(J8&lt;J9,H8,H9))</f>
        <v>Perdant du 2</v>
      </c>
      <c r="N19" s="130">
        <f>IF(O18=O19,0,IF(O18&gt;O19,0,1))</f>
        <v>0</v>
      </c>
      <c r="O19" s="632"/>
      <c r="P19" s="44"/>
      <c r="R19" s="533"/>
      <c r="S19" s="143"/>
      <c r="U19" s="44"/>
      <c r="W19" s="533"/>
      <c r="X19" s="143"/>
      <c r="Z19" s="61"/>
      <c r="AA19" s="209">
        <v>14</v>
      </c>
      <c r="AB19" s="440">
        <f t="shared" si="9"/>
        <v>0</v>
      </c>
      <c r="AC19" s="155" t="str">
        <f t="shared" si="4"/>
        <v/>
      </c>
      <c r="AD19" s="210" t="str">
        <f t="shared" si="5"/>
        <v/>
      </c>
      <c r="AE19" s="210" t="str">
        <f t="shared" si="6"/>
        <v/>
      </c>
      <c r="AF19" s="210" t="str">
        <f t="shared" si="7"/>
        <v/>
      </c>
      <c r="AG19" s="537">
        <f t="shared" si="8"/>
        <v>0</v>
      </c>
      <c r="AH19" s="299">
        <f t="shared" si="1"/>
        <v>1.0018899999999999</v>
      </c>
      <c r="AI19" s="649">
        <f>IF(AB19="","",SMALL(AH$6:AH$23,ROWS(AL$6:AL19)))</f>
        <v>1.0018800000000001</v>
      </c>
      <c r="AJ19" s="652">
        <f>IF(AI19="","",IF(AND(AL18=AL19),$AJ18,$AJ$6+13))</f>
        <v>1</v>
      </c>
      <c r="AK19" s="465">
        <f t="shared" si="2"/>
        <v>0</v>
      </c>
      <c r="AL19" s="468">
        <f t="shared" si="3"/>
        <v>0</v>
      </c>
      <c r="AM19" s="514"/>
      <c r="AN19" s="518" t="s">
        <v>116</v>
      </c>
      <c r="AO19" s="254">
        <v>2</v>
      </c>
      <c r="AP19" s="245" t="s">
        <v>246</v>
      </c>
      <c r="AQ19" s="136">
        <f t="shared" ref="AQ19:AQ22" si="10">SUM(AO19:AP19)</f>
        <v>2</v>
      </c>
      <c r="AR19" s="113"/>
    </row>
    <row r="20" spans="1:46" ht="24.95" customHeight="1">
      <c r="A20" s="94">
        <v>15</v>
      </c>
      <c r="B20" s="559"/>
      <c r="C20" s="560"/>
      <c r="D20" s="96"/>
      <c r="E20" s="44"/>
      <c r="F20" s="573" t="s">
        <v>2</v>
      </c>
      <c r="G20" s="477">
        <v>15</v>
      </c>
      <c r="H20" s="228" t="str">
        <f t="shared" si="0"/>
        <v/>
      </c>
      <c r="I20" s="125">
        <f>IF(J20=J21,0,IF(J20&lt;J21,2,4))</f>
        <v>0</v>
      </c>
      <c r="J20" s="576"/>
      <c r="K20" s="44"/>
      <c r="L20" s="522" t="s">
        <v>2</v>
      </c>
      <c r="M20" s="528" t="str">
        <f>IF(J10=J11,"Perdant du 3",IF(J10&lt;J11,H10,H11))</f>
        <v>Perdant du 3</v>
      </c>
      <c r="N20" s="172">
        <f>IF(O20=O21,0,IF(O20&lt;O21,0,1))</f>
        <v>0</v>
      </c>
      <c r="O20" s="631"/>
      <c r="P20" s="44"/>
      <c r="R20" s="533"/>
      <c r="S20" s="143"/>
      <c r="U20" s="44"/>
      <c r="V20" s="44"/>
      <c r="W20" s="131"/>
      <c r="X20" s="135"/>
      <c r="Y20" s="44"/>
      <c r="Z20" s="61"/>
      <c r="AA20" s="209">
        <v>15</v>
      </c>
      <c r="AB20" s="440">
        <f t="shared" si="9"/>
        <v>0</v>
      </c>
      <c r="AC20" s="155" t="str">
        <f t="shared" si="4"/>
        <v/>
      </c>
      <c r="AD20" s="210" t="str">
        <f t="shared" si="5"/>
        <v/>
      </c>
      <c r="AE20" s="210" t="str">
        <f t="shared" si="6"/>
        <v/>
      </c>
      <c r="AF20" s="210" t="str">
        <f t="shared" si="7"/>
        <v/>
      </c>
      <c r="AG20" s="537">
        <f t="shared" si="8"/>
        <v>0</v>
      </c>
      <c r="AH20" s="299">
        <f t="shared" si="1"/>
        <v>1.0019</v>
      </c>
      <c r="AI20" s="649">
        <f>IF(AB20="","",SMALL(AH$6:AH$23,ROWS(AL$6:AL20)))</f>
        <v>1.0018899999999999</v>
      </c>
      <c r="AJ20" s="652">
        <f>IF(AI20="","",IF(AND(AL19=AL20),$AJ19,$AJ$6+14))</f>
        <v>1</v>
      </c>
      <c r="AK20" s="465">
        <f t="shared" si="2"/>
        <v>0</v>
      </c>
      <c r="AL20" s="468">
        <f t="shared" si="3"/>
        <v>0</v>
      </c>
      <c r="AM20" s="514"/>
      <c r="AN20" s="563" t="s">
        <v>116</v>
      </c>
      <c r="AO20" s="255">
        <v>2</v>
      </c>
      <c r="AP20" s="243" t="s">
        <v>246</v>
      </c>
      <c r="AQ20" s="137">
        <f t="shared" si="10"/>
        <v>2</v>
      </c>
      <c r="AR20" s="113"/>
    </row>
    <row r="21" spans="1:46" ht="24.95" customHeight="1" thickBot="1">
      <c r="A21" s="94">
        <v>16</v>
      </c>
      <c r="B21" s="545"/>
      <c r="C21" s="558"/>
      <c r="D21" s="96"/>
      <c r="E21" s="44"/>
      <c r="F21" s="574">
        <v>8</v>
      </c>
      <c r="G21" s="478">
        <v>16</v>
      </c>
      <c r="H21" s="229" t="str">
        <f t="shared" si="0"/>
        <v/>
      </c>
      <c r="I21" s="129">
        <f>IF(J20=J21,0,IF(J20&gt;J21,2,4))</f>
        <v>0</v>
      </c>
      <c r="J21" s="577"/>
      <c r="K21" s="44"/>
      <c r="L21" s="524">
        <v>2</v>
      </c>
      <c r="M21" s="521" t="str">
        <f>IF(J12=J13,"Perdant du 4",IF(J12&lt;J13,H12,H13))</f>
        <v>Perdant du 4</v>
      </c>
      <c r="N21" s="130">
        <f>IF(O20=O21,0,IF(O20&gt;O21,0,1))</f>
        <v>0</v>
      </c>
      <c r="O21" s="632"/>
      <c r="P21" s="44"/>
      <c r="Q21" s="44"/>
      <c r="R21" s="147" t="s">
        <v>53</v>
      </c>
      <c r="S21" s="131"/>
      <c r="T21" s="44"/>
      <c r="U21" s="44"/>
      <c r="V21" s="44"/>
      <c r="W21" s="131"/>
      <c r="X21" s="135"/>
      <c r="Y21" s="44"/>
      <c r="Z21" s="113"/>
      <c r="AA21" s="209">
        <v>16</v>
      </c>
      <c r="AB21" s="440">
        <f t="shared" si="9"/>
        <v>0</v>
      </c>
      <c r="AC21" s="155" t="str">
        <f t="shared" si="4"/>
        <v/>
      </c>
      <c r="AD21" s="210" t="str">
        <f t="shared" si="5"/>
        <v/>
      </c>
      <c r="AE21" s="210" t="str">
        <f t="shared" si="6"/>
        <v/>
      </c>
      <c r="AF21" s="210" t="str">
        <f t="shared" si="7"/>
        <v/>
      </c>
      <c r="AG21" s="537">
        <f t="shared" si="8"/>
        <v>0</v>
      </c>
      <c r="AH21" s="299">
        <f t="shared" si="1"/>
        <v>1.0019100000000001</v>
      </c>
      <c r="AI21" s="649">
        <f>IF(AB21="","",SMALL(AH$6:AH$23,ROWS(AL$6:AL21)))</f>
        <v>1.0019</v>
      </c>
      <c r="AJ21" s="652">
        <f>IF(AI21="","",IF(AND(AL20=AL21),$AJ20,$AJ$6+15))</f>
        <v>1</v>
      </c>
      <c r="AK21" s="465">
        <f t="shared" si="2"/>
        <v>0</v>
      </c>
      <c r="AL21" s="468">
        <f t="shared" si="3"/>
        <v>0</v>
      </c>
      <c r="AM21" s="514"/>
      <c r="AN21" s="563" t="s">
        <v>116</v>
      </c>
      <c r="AO21" s="255">
        <v>2</v>
      </c>
      <c r="AP21" s="243" t="s">
        <v>246</v>
      </c>
      <c r="AQ21" s="137">
        <f t="shared" si="10"/>
        <v>2</v>
      </c>
      <c r="AR21" s="113"/>
    </row>
    <row r="22" spans="1:46" ht="24.95" customHeight="1" thickBot="1">
      <c r="A22" s="222">
        <v>17</v>
      </c>
      <c r="B22" s="559"/>
      <c r="C22" s="560"/>
      <c r="D22" s="223"/>
      <c r="E22" s="44"/>
      <c r="F22" s="573" t="s">
        <v>2</v>
      </c>
      <c r="G22" s="477">
        <v>17</v>
      </c>
      <c r="H22" s="228" t="str">
        <f t="shared" si="0"/>
        <v/>
      </c>
      <c r="I22" s="397">
        <v>3</v>
      </c>
      <c r="J22" s="121">
        <v>1</v>
      </c>
      <c r="K22" s="44"/>
      <c r="L22" s="522" t="s">
        <v>2</v>
      </c>
      <c r="M22" s="528" t="str">
        <f>IF(J14=J15,"Perdant du 5",IF(J14&lt;J15,H14,H15))</f>
        <v>Perdant du 5</v>
      </c>
      <c r="N22" s="172">
        <f>IF(O22=O23,0,IF(O22&lt;O23,0,1))</f>
        <v>0</v>
      </c>
      <c r="O22" s="631"/>
      <c r="P22" s="44"/>
      <c r="Q22" s="483" t="s">
        <v>2</v>
      </c>
      <c r="R22" s="528" t="str">
        <f>IF(O6=O7,"Perdant du 3",IF(O6&lt;O7,M14,M7))</f>
        <v>Perdant du 3</v>
      </c>
      <c r="S22" s="126">
        <f>IF(T22=T23,0,IF(T22&lt;T23,0,1))</f>
        <v>0</v>
      </c>
      <c r="T22" s="511"/>
      <c r="U22" s="44"/>
      <c r="V22" s="44"/>
      <c r="W22" s="147" t="s">
        <v>11</v>
      </c>
      <c r="X22" s="167"/>
      <c r="Y22" s="44"/>
      <c r="Z22" s="113"/>
      <c r="AA22" s="209">
        <v>17</v>
      </c>
      <c r="AB22" s="440">
        <f t="shared" si="9"/>
        <v>0</v>
      </c>
      <c r="AC22" s="155" t="str">
        <f t="shared" si="4"/>
        <v/>
      </c>
      <c r="AD22" s="210" t="str">
        <f t="shared" si="5"/>
        <v/>
      </c>
      <c r="AE22" s="210" t="str">
        <f t="shared" si="6"/>
        <v/>
      </c>
      <c r="AF22" s="210" t="str">
        <f t="shared" si="7"/>
        <v/>
      </c>
      <c r="AG22" s="537">
        <f t="shared" si="8"/>
        <v>0</v>
      </c>
      <c r="AH22" s="299">
        <f t="shared" si="1"/>
        <v>1.0019200000000001</v>
      </c>
      <c r="AI22" s="649">
        <f>IF(AB22="","",SMALL(AH$6:AH$23,ROWS(AL$6:AL22)))</f>
        <v>1.0019100000000001</v>
      </c>
      <c r="AJ22" s="652">
        <f>IF(AI22="","",IF(AND(AL21=AL22),$AJ21,$AJ$6+16))</f>
        <v>1</v>
      </c>
      <c r="AK22" s="465">
        <f t="shared" si="2"/>
        <v>0</v>
      </c>
      <c r="AL22" s="468">
        <f t="shared" si="3"/>
        <v>0</v>
      </c>
      <c r="AM22" s="514"/>
      <c r="AN22" s="142" t="s">
        <v>116</v>
      </c>
      <c r="AO22" s="253">
        <v>2</v>
      </c>
      <c r="AP22" s="247" t="s">
        <v>246</v>
      </c>
      <c r="AQ22" s="138">
        <f t="shared" si="10"/>
        <v>2</v>
      </c>
      <c r="AR22" s="113"/>
    </row>
    <row r="23" spans="1:46" ht="24.95" customHeight="1" thickBot="1">
      <c r="A23" s="110">
        <v>18</v>
      </c>
      <c r="B23" s="200" t="s">
        <v>105</v>
      </c>
      <c r="C23" s="204"/>
      <c r="D23" s="278">
        <v>18</v>
      </c>
      <c r="E23" s="44"/>
      <c r="F23" s="170">
        <v>9</v>
      </c>
      <c r="G23" s="478">
        <v>18</v>
      </c>
      <c r="H23" s="420" t="s">
        <v>105</v>
      </c>
      <c r="I23" s="124">
        <v>0</v>
      </c>
      <c r="J23" s="122"/>
      <c r="K23" s="44"/>
      <c r="L23" s="526">
        <v>4</v>
      </c>
      <c r="M23" s="527" t="str">
        <f>IF(J16=J17,"Perdant du 6",IF(J16&lt;J17,H16,H17))</f>
        <v>Perdant du 6</v>
      </c>
      <c r="N23" s="130">
        <f>IF(O22=O23,0,IF(O22&gt;O23,0,1))</f>
        <v>0</v>
      </c>
      <c r="O23" s="634"/>
      <c r="P23" s="44"/>
      <c r="Q23" s="484">
        <v>4</v>
      </c>
      <c r="R23" s="520" t="str">
        <f>IF(O8=O9,"Perdant du 5",IF(O8&lt;O9,M8,M9))</f>
        <v>Perdant du 5</v>
      </c>
      <c r="S23" s="130">
        <f>IF(T22=T23,0,IF(T22&gt;T23,0,1))</f>
        <v>0</v>
      </c>
      <c r="T23" s="512"/>
      <c r="U23" s="44"/>
      <c r="V23" s="483" t="s">
        <v>2</v>
      </c>
      <c r="W23" s="535" t="str">
        <f>IF(T22=T23,"Gagnant du 4",IF(T22&gt;T23,R22,R23))</f>
        <v>Gagnant du 4</v>
      </c>
      <c r="X23" s="126">
        <f>IF(Y22=Y23,0,IF(Y22&gt;Y23,0,1))</f>
        <v>0</v>
      </c>
      <c r="Y23" s="511"/>
      <c r="Z23" s="113"/>
      <c r="AA23" s="358">
        <v>18</v>
      </c>
      <c r="AB23" s="516" t="str">
        <f t="shared" si="9"/>
        <v>OFFICE</v>
      </c>
      <c r="AC23" s="538">
        <f t="shared" si="4"/>
        <v>0</v>
      </c>
      <c r="AD23" s="539">
        <f t="shared" si="5"/>
        <v>0</v>
      </c>
      <c r="AE23" s="539">
        <f t="shared" si="6"/>
        <v>0</v>
      </c>
      <c r="AF23" s="539" t="str">
        <f t="shared" si="7"/>
        <v/>
      </c>
      <c r="AG23" s="540">
        <f t="shared" si="8"/>
        <v>0</v>
      </c>
      <c r="AH23" s="374">
        <f t="shared" si="1"/>
        <v>1.00023</v>
      </c>
      <c r="AI23" s="672">
        <f>IF(AB23="","",SMALL(AH$6:AH$23,ROWS(AL$6:AL23)))</f>
        <v>1.0019200000000001</v>
      </c>
      <c r="AJ23" s="673">
        <v>18</v>
      </c>
      <c r="AK23" s="753">
        <f t="shared" si="2"/>
        <v>0</v>
      </c>
      <c r="AL23" s="755">
        <f t="shared" si="3"/>
        <v>0</v>
      </c>
      <c r="AM23"/>
      <c r="AN23" s="515"/>
      <c r="AO23" s="515"/>
      <c r="AP23" s="515"/>
      <c r="AQ23" s="515"/>
      <c r="AR23" s="113"/>
    </row>
    <row r="24" spans="1:46" ht="24.95" customHeight="1" thickBot="1">
      <c r="A24" s="44"/>
      <c r="B24" s="44"/>
      <c r="C24" s="44"/>
      <c r="D24" s="44"/>
      <c r="E24" s="44"/>
      <c r="F24" s="44"/>
      <c r="G24" s="44"/>
      <c r="H24" s="144" t="s">
        <v>232</v>
      </c>
      <c r="I24" s="44"/>
      <c r="J24" s="44"/>
      <c r="K24" s="44"/>
      <c r="L24" s="522" t="s">
        <v>2</v>
      </c>
      <c r="M24" s="528" t="str">
        <f>IF(J18=J19,"Perdant du 7",IF(J18&lt;J19,H18,H19))</f>
        <v>Perdant du 7</v>
      </c>
      <c r="N24" s="172">
        <f>IF(O24=O25,0,IF(O24&lt;O25,0,1))</f>
        <v>0</v>
      </c>
      <c r="O24" s="631"/>
      <c r="P24" s="44"/>
      <c r="Q24" s="509" t="s">
        <v>2</v>
      </c>
      <c r="R24" s="521" t="str">
        <f>IF(O10=O11,"Perdant du 7",IF(O10&lt;O11,M10,M11))</f>
        <v>Perdant du 7</v>
      </c>
      <c r="S24" s="400">
        <f>IF(T24=T25,0,IF(T24&lt;T25,0,1))</f>
        <v>0</v>
      </c>
      <c r="T24" s="636"/>
      <c r="U24" s="44"/>
      <c r="V24" s="484">
        <v>6</v>
      </c>
      <c r="W24" s="520" t="str">
        <f>IF(T24=T25,"Gagnant du 8",IF(T24&gt;T25,R24,R25))</f>
        <v>Gagnant du 8</v>
      </c>
      <c r="X24" s="167">
        <f>IF(Y23=Y24,0,IF(Y23&gt;Y24,0,1))</f>
        <v>0</v>
      </c>
      <c r="Y24" s="512"/>
      <c r="Z24" s="113"/>
      <c r="AA24" s="113"/>
      <c r="AB24" s="113"/>
      <c r="AC24" s="113">
        <f>SUM(AC6:AC23)</f>
        <v>0</v>
      </c>
      <c r="AD24" s="113">
        <f>SUM(AD6:AD23)</f>
        <v>0</v>
      </c>
      <c r="AE24" s="113">
        <f>SUM(AE6:AE23)</f>
        <v>0</v>
      </c>
      <c r="AF24" s="113">
        <f>SUM(AF6:AF23)</f>
        <v>0</v>
      </c>
      <c r="AG24" s="113">
        <f>SUM(AG6:AG23)</f>
        <v>0</v>
      </c>
      <c r="AH24" s="113"/>
      <c r="AI24" s="113"/>
      <c r="AJ24" s="113"/>
      <c r="AK24" s="113"/>
      <c r="AL24" s="113">
        <f>SUM(AL6:AL23)</f>
        <v>0</v>
      </c>
      <c r="AM24" s="113"/>
      <c r="AN24" s="113"/>
      <c r="AO24" s="113"/>
      <c r="AP24" s="113"/>
      <c r="AQ24" s="141">
        <f>SUM(AQ6:AQ23)</f>
        <v>77</v>
      </c>
      <c r="AR24" s="113"/>
    </row>
    <row r="25" spans="1:46" ht="24.95" customHeight="1" thickBo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524">
        <v>6</v>
      </c>
      <c r="M25" s="534" t="str">
        <f>IF(J20=J21,"Perdant du 8",IF(J20&lt;J21,H20,H21))</f>
        <v>Perdant du 8</v>
      </c>
      <c r="N25" s="130">
        <f>IF(O24=O25,0,IF(O24&gt;O25,0,1))</f>
        <v>0</v>
      </c>
      <c r="O25" s="632"/>
      <c r="P25" s="44"/>
      <c r="Q25" s="484">
        <v>8</v>
      </c>
      <c r="R25" s="534" t="str">
        <f>IF(O12=O13,"Perdant du 1",IF(O12&lt;O13,M12,M13))</f>
        <v>Perdant du 1</v>
      </c>
      <c r="S25" s="130">
        <f>IF(T24=T25,0,IF(T24&gt;T25,0,1))</f>
        <v>0</v>
      </c>
      <c r="T25" s="512"/>
      <c r="U25" s="44"/>
      <c r="V25" s="44"/>
      <c r="W25" s="44"/>
      <c r="X25" s="44"/>
      <c r="Y25" s="189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</row>
    <row r="26" spans="1:46" ht="18.75">
      <c r="A26" s="44"/>
      <c r="B26" s="44"/>
      <c r="C26" s="44"/>
      <c r="D26" s="44"/>
      <c r="E26" s="44"/>
      <c r="F26" s="44"/>
      <c r="G26" s="44"/>
      <c r="H26" s="44"/>
      <c r="I26" s="44"/>
      <c r="J26" s="47"/>
      <c r="K26" s="44"/>
      <c r="P26" s="44"/>
      <c r="U26" s="44"/>
      <c r="V26" s="44"/>
      <c r="W26" s="44"/>
      <c r="X26" s="44"/>
      <c r="Y26" s="189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</row>
    <row r="27" spans="1:46" ht="19.5" thickBot="1">
      <c r="A27" s="44"/>
      <c r="B27" s="421" t="s">
        <v>142</v>
      </c>
      <c r="C27" s="44"/>
      <c r="D27" s="44" t="s">
        <v>45</v>
      </c>
      <c r="E27" s="44"/>
      <c r="F27" s="47"/>
      <c r="G27" s="47"/>
      <c r="H27" s="144"/>
      <c r="I27" s="44"/>
      <c r="J27" s="44"/>
      <c r="K27" s="44"/>
      <c r="L27" s="44"/>
      <c r="Q27" s="44"/>
      <c r="R27" s="44"/>
      <c r="S27" s="44"/>
      <c r="T27" s="44"/>
      <c r="U27" s="44"/>
      <c r="V27" s="44"/>
      <c r="W27" s="189"/>
      <c r="X27" s="189"/>
      <c r="Y27" s="189"/>
      <c r="Z27" s="189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S27" s="161"/>
    </row>
    <row r="28" spans="1:46" ht="19.5" thickBot="1">
      <c r="A28" s="44"/>
      <c r="B28" s="434" t="s">
        <v>45</v>
      </c>
      <c r="C28" s="44"/>
      <c r="D28" s="44"/>
      <c r="E28" s="44"/>
      <c r="F28" s="44"/>
      <c r="G28" s="44"/>
      <c r="H28" s="274"/>
      <c r="I28" s="135">
        <f>SUM(I6:I23)</f>
        <v>3</v>
      </c>
      <c r="J28" s="135"/>
      <c r="K28" s="279"/>
      <c r="L28" s="279"/>
      <c r="M28" s="147"/>
      <c r="N28" s="131">
        <f>SUM(N6:N25)</f>
        <v>1</v>
      </c>
      <c r="O28" s="147"/>
      <c r="P28" s="147"/>
      <c r="Q28" s="279"/>
      <c r="R28" s="143"/>
      <c r="S28" s="135">
        <f>SUM(S6:S25)</f>
        <v>1</v>
      </c>
      <c r="T28" s="143"/>
      <c r="U28" s="143"/>
      <c r="V28" s="135"/>
      <c r="W28" s="279"/>
      <c r="X28" s="135">
        <f>SUM(X6:X25)</f>
        <v>0</v>
      </c>
      <c r="Y28" s="279"/>
      <c r="Z28" s="279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1">
        <f>SUM(I28:Z28)</f>
        <v>5</v>
      </c>
      <c r="AL28" s="271">
        <f>SUM(AL6:AL23)</f>
        <v>0</v>
      </c>
      <c r="AM28" s="147"/>
      <c r="AN28" s="147"/>
      <c r="AO28" s="147"/>
      <c r="AP28" s="147"/>
      <c r="AQ28" s="147"/>
      <c r="AR28" s="189"/>
      <c r="AS28" s="161"/>
    </row>
    <row r="29" spans="1:46" ht="19.5" thickBot="1">
      <c r="A29" s="189"/>
      <c r="B29" s="189"/>
      <c r="C29" s="189"/>
      <c r="D29" s="189"/>
      <c r="E29" s="189"/>
      <c r="F29" s="189"/>
      <c r="G29" s="189"/>
      <c r="H29" s="47"/>
      <c r="J29" s="44"/>
      <c r="K29" s="189"/>
      <c r="L29" s="189"/>
      <c r="M29" s="44"/>
      <c r="N29" s="44"/>
      <c r="O29" s="113"/>
      <c r="P29" s="44"/>
      <c r="Q29" s="189"/>
      <c r="V29" s="44"/>
      <c r="W29" s="189"/>
      <c r="X29" s="189"/>
      <c r="Y29" s="18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61"/>
    </row>
    <row r="30" spans="1:46" ht="19.5" thickBot="1">
      <c r="A30" s="189"/>
      <c r="B30" s="44"/>
      <c r="C30" s="44" t="s">
        <v>41</v>
      </c>
      <c r="D30" s="44"/>
      <c r="E30" s="189"/>
      <c r="F30" s="189"/>
      <c r="G30" s="189"/>
      <c r="H30" s="189"/>
      <c r="I30" s="44">
        <v>51</v>
      </c>
      <c r="J30" s="189"/>
      <c r="K30" s="189"/>
      <c r="L30" s="189"/>
      <c r="M30" s="189"/>
      <c r="N30" s="44">
        <v>13</v>
      </c>
      <c r="O30" s="189"/>
      <c r="P30" s="44"/>
      <c r="Q30" s="44"/>
      <c r="R30" s="189"/>
      <c r="S30" s="189">
        <v>9</v>
      </c>
      <c r="T30" s="189"/>
      <c r="U30" s="189"/>
      <c r="V30" s="189"/>
      <c r="W30" s="189"/>
      <c r="X30" s="384">
        <v>4</v>
      </c>
      <c r="Y30" s="47"/>
      <c r="Z30" s="113"/>
      <c r="AA30" s="44"/>
      <c r="AB30" s="199"/>
      <c r="AC30" s="199"/>
      <c r="AD30" s="199"/>
      <c r="AE30" s="199"/>
      <c r="AF30" s="199"/>
      <c r="AG30" s="199"/>
      <c r="AH30" s="199"/>
      <c r="AI30" s="199"/>
      <c r="AJ30" s="199"/>
      <c r="AK30" s="517">
        <f>SUM(I30:X30)</f>
        <v>77</v>
      </c>
      <c r="AL30" s="199"/>
      <c r="AM30" s="199"/>
      <c r="AN30" s="199"/>
      <c r="AO30" s="199"/>
      <c r="AP30" s="199"/>
      <c r="AQ30" s="199"/>
      <c r="AR30" s="199"/>
      <c r="AS30" s="161"/>
      <c r="AT30" s="161"/>
    </row>
    <row r="31" spans="1:46" ht="18.75">
      <c r="A31" s="189"/>
      <c r="B31" s="144" t="s">
        <v>42</v>
      </c>
      <c r="C31" s="214" t="s">
        <v>101</v>
      </c>
      <c r="D31" s="44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9"/>
      <c r="Q31" s="189"/>
      <c r="R31" s="189"/>
      <c r="W31" s="18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</row>
    <row r="32" spans="1:46" ht="18.75">
      <c r="A32" s="189"/>
      <c r="B32" s="145" t="s">
        <v>43</v>
      </c>
      <c r="C32" s="214" t="s">
        <v>102</v>
      </c>
      <c r="D32" s="41"/>
      <c r="E32" s="189"/>
      <c r="F32" s="189"/>
      <c r="G32" s="189"/>
      <c r="H32" s="189"/>
      <c r="I32" s="189"/>
      <c r="J32" s="189"/>
      <c r="K32" s="189"/>
      <c r="N32" s="189"/>
      <c r="O32" s="189"/>
      <c r="P32" s="199"/>
      <c r="Q32" s="189"/>
      <c r="S32" s="44"/>
      <c r="U32" s="44"/>
      <c r="V32" s="44"/>
      <c r="W32" s="189"/>
    </row>
    <row r="33" spans="8:40" ht="18.75">
      <c r="H33" s="189"/>
      <c r="I33" s="189"/>
      <c r="J33" s="189"/>
      <c r="M33" s="189"/>
      <c r="N33" s="189"/>
      <c r="O33" s="199"/>
      <c r="P33" s="189"/>
      <c r="R33" s="189"/>
      <c r="S33" s="189"/>
      <c r="T33" s="189"/>
      <c r="U33" s="189"/>
      <c r="V33" s="189"/>
    </row>
    <row r="34" spans="8:40" ht="18.75">
      <c r="H34" s="189"/>
      <c r="M34" s="189"/>
      <c r="O34" s="199"/>
      <c r="P34" s="189"/>
      <c r="R34" s="189"/>
      <c r="S34" s="189"/>
      <c r="T34" s="189"/>
      <c r="U34" s="189"/>
    </row>
    <row r="35" spans="8:40" ht="18.75">
      <c r="S35" s="189"/>
      <c r="T35" s="189"/>
      <c r="U35" s="189"/>
      <c r="AN35" s="45" t="s">
        <v>221</v>
      </c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4:AL4"/>
    <mergeCell ref="AO4:AQ4"/>
  </mergeCells>
  <conditionalFormatting sqref="AJ6:AJ23">
    <cfRule type="duplicateValues" dxfId="5" priority="1"/>
  </conditionalFormatting>
  <pageMargins left="0.23" right="0.24" top="0.15" bottom="0.32" header="0.08" footer="0.2"/>
  <pageSetup paperSize="9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00"/>
  </sheetPr>
  <dimension ref="A1:AT38"/>
  <sheetViews>
    <sheetView zoomScale="60" zoomScaleNormal="60" workbookViewId="0">
      <selection activeCell="Y25" sqref="Y25:Y26"/>
    </sheetView>
  </sheetViews>
  <sheetFormatPr baseColWidth="10" defaultRowHeight="15"/>
  <cols>
    <col min="1" max="1" width="5.7109375" style="45" customWidth="1"/>
    <col min="2" max="2" width="29.85546875" style="45" customWidth="1"/>
    <col min="3" max="3" width="24.140625" style="45" customWidth="1"/>
    <col min="4" max="4" width="12.7109375" style="45" customWidth="1"/>
    <col min="5" max="5" width="5.7109375" style="45" customWidth="1"/>
    <col min="6" max="6" width="8.5703125" style="45" customWidth="1"/>
    <col min="7" max="7" width="7.5703125" style="45" hidden="1" customWidth="1"/>
    <col min="8" max="8" width="27.5703125" style="45" customWidth="1"/>
    <col min="9" max="9" width="7.5703125" style="45" hidden="1" customWidth="1"/>
    <col min="10" max="10" width="7.140625" style="45" customWidth="1"/>
    <col min="11" max="11" width="6" style="45" customWidth="1"/>
    <col min="12" max="12" width="8.7109375" style="45" customWidth="1"/>
    <col min="13" max="13" width="29.28515625" style="45" customWidth="1"/>
    <col min="14" max="14" width="7.140625" style="45" hidden="1" customWidth="1"/>
    <col min="15" max="15" width="7.85546875" style="45" customWidth="1"/>
    <col min="16" max="16" width="5.42578125" style="45" customWidth="1"/>
    <col min="17" max="17" width="9.85546875" style="45" customWidth="1"/>
    <col min="18" max="18" width="27.5703125" style="45" customWidth="1"/>
    <col min="19" max="19" width="8.140625" style="45" hidden="1" customWidth="1"/>
    <col min="20" max="20" width="7.42578125" style="45" customWidth="1"/>
    <col min="21" max="21" width="5.7109375" style="45" customWidth="1"/>
    <col min="22" max="22" width="8.85546875" style="45" customWidth="1"/>
    <col min="23" max="23" width="28.140625" style="45" customWidth="1"/>
    <col min="24" max="24" width="7.5703125" style="45" hidden="1" customWidth="1"/>
    <col min="25" max="25" width="6.85546875" style="45" customWidth="1"/>
    <col min="26" max="26" width="7.140625" style="45" customWidth="1"/>
    <col min="27" max="27" width="6.7109375" style="45" hidden="1" customWidth="1"/>
    <col min="28" max="28" width="22.85546875" style="45" hidden="1" customWidth="1"/>
    <col min="29" max="29" width="11.28515625" style="45" hidden="1" customWidth="1"/>
    <col min="30" max="30" width="11" style="45" hidden="1" customWidth="1"/>
    <col min="31" max="31" width="9.85546875" style="45" hidden="1" customWidth="1"/>
    <col min="32" max="33" width="12.140625" style="45" hidden="1" customWidth="1"/>
    <col min="34" max="34" width="17.85546875" style="45" hidden="1" customWidth="1"/>
    <col min="35" max="35" width="23.85546875" style="45" hidden="1" customWidth="1"/>
    <col min="36" max="36" width="12.28515625" style="45" customWidth="1"/>
    <col min="37" max="37" width="30" style="45" customWidth="1"/>
    <col min="38" max="38" width="17.42578125" style="45" customWidth="1"/>
    <col min="39" max="39" width="7.85546875" style="45" customWidth="1"/>
    <col min="40" max="40" width="24.140625" style="45" customWidth="1"/>
    <col min="41" max="41" width="10.85546875" style="45" customWidth="1"/>
    <col min="42" max="42" width="32.5703125" style="45" customWidth="1"/>
    <col min="43" max="43" width="13.42578125" style="45" customWidth="1"/>
    <col min="44" max="44" width="14.28515625" style="45" customWidth="1"/>
    <col min="45" max="45" width="45.85546875" style="45" customWidth="1"/>
    <col min="46" max="46" width="22.140625" style="45" customWidth="1"/>
    <col min="47" max="16384" width="11.42578125" style="45"/>
  </cols>
  <sheetData>
    <row r="1" spans="1:45" s="414" customFormat="1" ht="39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3"/>
      <c r="P1" s="412"/>
      <c r="Q1" s="412"/>
      <c r="R1" s="412" t="s">
        <v>138</v>
      </c>
      <c r="S1" s="412"/>
      <c r="T1" s="412"/>
      <c r="U1" s="412"/>
      <c r="V1" s="412"/>
      <c r="W1" s="412"/>
      <c r="X1" s="413"/>
      <c r="Y1" s="413"/>
      <c r="Z1" s="412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2"/>
      <c r="AO1" s="415"/>
      <c r="AP1" s="415"/>
      <c r="AQ1" s="415"/>
      <c r="AR1" s="415"/>
      <c r="AS1" s="415"/>
    </row>
    <row r="2" spans="1:45" ht="26.1" customHeight="1" thickBot="1">
      <c r="A2" s="44"/>
      <c r="B2" s="357" t="s">
        <v>140</v>
      </c>
      <c r="C2" s="44"/>
      <c r="D2" s="43" t="s">
        <v>44</v>
      </c>
      <c r="E2" s="43"/>
      <c r="F2" s="43"/>
      <c r="G2" s="43"/>
      <c r="H2" s="43"/>
      <c r="I2" s="43"/>
      <c r="J2" s="43"/>
      <c r="K2" s="43" t="s">
        <v>22</v>
      </c>
      <c r="L2" s="43"/>
      <c r="M2" s="44"/>
      <c r="N2" s="44"/>
      <c r="O2" s="113"/>
      <c r="P2" s="44"/>
      <c r="Q2" s="44"/>
      <c r="R2" s="44"/>
      <c r="S2" s="44"/>
      <c r="T2" s="44"/>
      <c r="U2" s="44"/>
      <c r="V2" s="44"/>
      <c r="W2" s="113"/>
      <c r="X2" s="44"/>
      <c r="Y2" s="44"/>
      <c r="Z2" s="44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44"/>
      <c r="AO2" s="161"/>
      <c r="AP2" s="161"/>
      <c r="AQ2" s="161"/>
      <c r="AR2" s="161"/>
      <c r="AS2" s="161"/>
    </row>
    <row r="3" spans="1:45" ht="26.1" customHeight="1" thickBot="1">
      <c r="A3" s="44"/>
      <c r="B3" s="44"/>
      <c r="C3" s="44"/>
      <c r="D3" s="44"/>
      <c r="E3" s="44"/>
      <c r="F3" s="44"/>
      <c r="G3" s="44"/>
      <c r="H3" s="44"/>
      <c r="I3" s="44"/>
      <c r="J3" s="47"/>
      <c r="K3" s="47"/>
      <c r="L3" s="47"/>
      <c r="M3" s="47"/>
      <c r="N3" s="61"/>
      <c r="O3" s="44"/>
      <c r="P3" s="44"/>
      <c r="Q3" s="44"/>
      <c r="R3" s="44"/>
      <c r="S3" s="44"/>
      <c r="T3" s="47"/>
      <c r="U3" s="47"/>
      <c r="V3" s="47"/>
      <c r="W3" s="47"/>
      <c r="X3" s="47"/>
      <c r="Y3" s="44" t="s">
        <v>221</v>
      </c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  <c r="AM3" s="113"/>
      <c r="AN3" s="161"/>
      <c r="AO3" s="161"/>
      <c r="AP3" s="161"/>
      <c r="AQ3" s="161"/>
      <c r="AR3" s="161"/>
    </row>
    <row r="4" spans="1:45" ht="26.1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 s="766" t="s">
        <v>129</v>
      </c>
      <c r="AL4" s="767"/>
      <c r="AM4" s="113"/>
      <c r="AN4" s="161"/>
      <c r="AO4" s="769" t="s">
        <v>113</v>
      </c>
      <c r="AP4" s="770"/>
      <c r="AQ4" s="771"/>
      <c r="AR4"/>
    </row>
    <row r="5" spans="1:45" ht="26.1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405" t="s">
        <v>108</v>
      </c>
      <c r="J5" s="44" t="s">
        <v>107</v>
      </c>
      <c r="K5" s="44"/>
      <c r="L5" s="44"/>
      <c r="M5" s="44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405" t="s">
        <v>108</v>
      </c>
      <c r="T5" s="44" t="s">
        <v>107</v>
      </c>
      <c r="U5" s="44"/>
      <c r="V5" s="44"/>
      <c r="W5" s="44"/>
      <c r="X5" s="44"/>
      <c r="Y5" s="44"/>
      <c r="Z5" s="113"/>
      <c r="AA5" s="113"/>
      <c r="AB5" s="151" t="s">
        <v>111</v>
      </c>
      <c r="AC5" s="304" t="s">
        <v>189</v>
      </c>
      <c r="AD5" s="238" t="s">
        <v>190</v>
      </c>
      <c r="AE5" s="238" t="s">
        <v>191</v>
      </c>
      <c r="AF5" s="141" t="s">
        <v>227</v>
      </c>
      <c r="AG5" s="151" t="s">
        <v>193</v>
      </c>
      <c r="AH5" s="295" t="s">
        <v>109</v>
      </c>
      <c r="AI5" s="305" t="s">
        <v>110</v>
      </c>
      <c r="AJ5" s="433" t="s">
        <v>238</v>
      </c>
      <c r="AK5" s="366" t="s">
        <v>111</v>
      </c>
      <c r="AL5" s="367" t="s">
        <v>192</v>
      </c>
      <c r="AM5" s="113"/>
      <c r="AN5" s="238" t="s">
        <v>12</v>
      </c>
      <c r="AO5" s="501" t="s">
        <v>56</v>
      </c>
      <c r="AP5" s="239" t="s">
        <v>241</v>
      </c>
      <c r="AQ5" s="239" t="s">
        <v>16</v>
      </c>
      <c r="AR5"/>
    </row>
    <row r="6" spans="1:45" ht="26.1" customHeight="1" thickBot="1">
      <c r="A6" s="87">
        <v>1</v>
      </c>
      <c r="B6" s="555"/>
      <c r="C6" s="556"/>
      <c r="D6" s="89"/>
      <c r="E6" s="44"/>
      <c r="F6" s="573" t="s">
        <v>2</v>
      </c>
      <c r="G6" s="475">
        <v>1</v>
      </c>
      <c r="H6" s="182" t="str">
        <f t="shared" ref="H6:H23" si="0">IF(ISNA(MATCH(G6,$D$6:$D$23,0)),"",INDEX($B$6:$B$23,MATCH(G6,$D$6:$D$23,0)))</f>
        <v/>
      </c>
      <c r="I6" s="125">
        <f>IF(J6=J7,0,IF(J6&lt;J7,2,4))</f>
        <v>0</v>
      </c>
      <c r="J6" s="576"/>
      <c r="K6" s="44"/>
      <c r="L6" s="570" t="s">
        <v>2</v>
      </c>
      <c r="M6" s="519" t="str">
        <f>IF(J6=J7,"Gagnant du 1",IF(J6&gt;J7,H6,H7))</f>
        <v>Gagnant du 1</v>
      </c>
      <c r="N6" s="441">
        <f>IF(O6=O7,0,IF(O6&lt;O7,0,2))</f>
        <v>0</v>
      </c>
      <c r="O6" s="576"/>
      <c r="P6" s="44"/>
      <c r="Q6" s="570" t="s">
        <v>2</v>
      </c>
      <c r="R6" s="164" t="s">
        <v>105</v>
      </c>
      <c r="S6" s="397"/>
      <c r="T6" s="121"/>
      <c r="U6" s="44"/>
      <c r="V6" s="44"/>
      <c r="W6" s="384" t="s">
        <v>9</v>
      </c>
      <c r="X6" s="405" t="s">
        <v>108</v>
      </c>
      <c r="Y6" s="44" t="s">
        <v>107</v>
      </c>
      <c r="Z6" s="113"/>
      <c r="AA6" s="136">
        <v>1</v>
      </c>
      <c r="AB6" s="307">
        <f>+B6</f>
        <v>0</v>
      </c>
      <c r="AC6" s="211" t="str">
        <f>IF(ISNA(VLOOKUP(AB6,$H$6:$I$23,2,0)),"",VLOOKUP(AB6,$H$6:$I$23,2,0))</f>
        <v/>
      </c>
      <c r="AD6" s="298" t="str">
        <f>IF(ISNA(VLOOKUP(AB6,$M$6:$N$27,2,0)),"",VLOOKUP(AB6,$M$6:$N$27,2,0))</f>
        <v/>
      </c>
      <c r="AE6" s="298" t="str">
        <f>IF(ISNA(VLOOKUP(AB6,$R$6:$S$27,3,0)),"",VLOOKUP(AB6,$R$6:$S$27,2,0))</f>
        <v/>
      </c>
      <c r="AF6" s="298" t="str">
        <f>IF(ISNA(VLOOKUP(AB6,$W$7:$X$26,2,0)),"",VLOOKUP(AB6,$W$7:$X$26,2,0))</f>
        <v/>
      </c>
      <c r="AG6" s="372">
        <f>SUM(AC6:AF6)</f>
        <v>0</v>
      </c>
      <c r="AH6" s="299">
        <f>IF(OR(AB6="",AG6=""),"",RANK(AG6,$AG$6:$AG$23)+COUNTIF(AB$6:AB$23,"&lt;="&amp;AB6+1)/10000+ROW()/100000)</f>
        <v>1.00186</v>
      </c>
      <c r="AI6" s="649">
        <f>IF(AB6="","",SMALL(AH$6:AH$23,ROWS(AL$6:AL6)))</f>
        <v>1.00186</v>
      </c>
      <c r="AJ6" s="651">
        <f>IF(AI6="","",1)</f>
        <v>1</v>
      </c>
      <c r="AK6" s="472">
        <f>IF(OR(AB6="",AG6=""),"",INDEX($AB$6:$AB$23,MATCH(AI6,$AH$6:$AH$23,0)))</f>
        <v>0</v>
      </c>
      <c r="AL6" s="467">
        <f>IF(AB6="","",INDEX($AG$6:$AG$23,MATCH(AI6,$AH$6:$AH$23,0)))</f>
        <v>0</v>
      </c>
      <c r="AM6" s="113"/>
      <c r="AN6" s="570" t="s">
        <v>115</v>
      </c>
      <c r="AO6" s="240">
        <v>2</v>
      </c>
      <c r="AP6" s="241" t="s">
        <v>242</v>
      </c>
      <c r="AQ6" s="581">
        <v>10</v>
      </c>
      <c r="AR6"/>
    </row>
    <row r="7" spans="1:45" ht="26.1" customHeight="1" thickBot="1">
      <c r="A7" s="94">
        <v>2</v>
      </c>
      <c r="B7" s="557"/>
      <c r="C7" s="558"/>
      <c r="D7" s="96"/>
      <c r="E7" s="44"/>
      <c r="F7" s="574">
        <v>1</v>
      </c>
      <c r="G7" s="476">
        <v>2</v>
      </c>
      <c r="H7" s="198" t="str">
        <f t="shared" si="0"/>
        <v/>
      </c>
      <c r="I7" s="129">
        <f>IF(J6=J7,0,IF(J6&gt;J7,2,4))</f>
        <v>0</v>
      </c>
      <c r="J7" s="577"/>
      <c r="K7" s="44"/>
      <c r="L7" s="571">
        <v>3</v>
      </c>
      <c r="M7" s="520" t="str">
        <f>IF(J8=J9,"Gagnant du 2",IF(J8&gt;J9,H8,H9))</f>
        <v>Gagnant du 2</v>
      </c>
      <c r="N7" s="130">
        <f>IF(O6=O7,0,IF(O6&gt;O7,0,2))</f>
        <v>0</v>
      </c>
      <c r="O7" s="577"/>
      <c r="P7" s="44"/>
      <c r="Q7" s="282"/>
      <c r="R7" s="534" t="str">
        <f>IF(O6=O7,"Gagnant du 3",IF(O6&gt;O7,M6,M7))</f>
        <v>Gagnant du 3</v>
      </c>
      <c r="S7" s="398">
        <v>1</v>
      </c>
      <c r="T7" s="122">
        <v>1</v>
      </c>
      <c r="U7" s="44"/>
      <c r="V7" s="585" t="s">
        <v>2</v>
      </c>
      <c r="W7" s="519" t="str">
        <f>IF(T8=T9,"Gagnant du 2",IF(T8&gt;T9,R8,R9))</f>
        <v>Gagnant du 2</v>
      </c>
      <c r="X7" s="172">
        <f>IF(Y7=Y8,0,IF(Y7&lt;Y8,0,2))</f>
        <v>0</v>
      </c>
      <c r="Y7" s="656"/>
      <c r="Z7" s="61"/>
      <c r="AA7" s="137">
        <v>2</v>
      </c>
      <c r="AB7" s="332">
        <f>+B7</f>
        <v>0</v>
      </c>
      <c r="AC7" s="210" t="str">
        <f t="shared" ref="AC7:AC23" si="1">IF(ISNA(VLOOKUP(AB7,$H$6:$I$23,2,0)),"",VLOOKUP(AB7,$H$6:$I$23,2,0))</f>
        <v/>
      </c>
      <c r="AD7" s="210" t="str">
        <f t="shared" ref="AD7:AD23" si="2">IF(ISNA(VLOOKUP(AB7,$M$6:$N$27,2,0)),"",VLOOKUP(AB7,$M$6:$N$27,2,0))</f>
        <v/>
      </c>
      <c r="AE7" s="210" t="str">
        <f t="shared" ref="AE7:AE23" si="3">IF(ISNA(VLOOKUP(AB7,$R$6:$S$27,3,0)),"",VLOOKUP(AB7,$R$6:$S$27,2,0))</f>
        <v/>
      </c>
      <c r="AF7" s="210" t="str">
        <f t="shared" ref="AF7:AF23" si="4">IF(ISNA(VLOOKUP(AB7,$W$7:$X$26,2,0)),"",VLOOKUP(AB7,$W$7:$X$26,2,0))</f>
        <v/>
      </c>
      <c r="AG7" s="373">
        <f t="shared" ref="AG7:AG23" si="5">SUM(AC7:AF7)</f>
        <v>0</v>
      </c>
      <c r="AH7" s="299">
        <f t="shared" ref="AH7:AH23" si="6">IF(OR(AB7="",AG7=""),"",RANK(AG7,$AG$6:$AG$23)+COUNTIF(AB$6:AB$23,"&lt;="&amp;AB7+1)/10000+ROW()/100000)</f>
        <v>1.00187</v>
      </c>
      <c r="AI7" s="649">
        <f>IF(AB7="","",SMALL(AH$6:AH$23,ROWS(AL$6:AL7)))</f>
        <v>1.00187</v>
      </c>
      <c r="AJ7" s="652">
        <f>IF(AI7="","",IF(AND(AL6=AL7),$AJ6,$AJ$6+1))</f>
        <v>1</v>
      </c>
      <c r="AK7" s="465">
        <f t="shared" ref="AK7:AK23" si="7">IF(OR(AB7="",AG7=""),"",INDEX($AB$6:$AB$23,MATCH(AI7,$AH$6:$AH$23,0)))</f>
        <v>0</v>
      </c>
      <c r="AL7" s="468">
        <f t="shared" ref="AL7:AL23" si="8">IF(AB7="","",INDEX($AG$6:$AG$23,MATCH(AI7,$AH$6:$AH$23,0)))</f>
        <v>0</v>
      </c>
      <c r="AM7" s="113"/>
      <c r="AN7" s="580" t="s">
        <v>15</v>
      </c>
      <c r="AO7" s="242">
        <v>2</v>
      </c>
      <c r="AP7" s="243" t="s">
        <v>243</v>
      </c>
      <c r="AQ7" s="582">
        <v>8</v>
      </c>
      <c r="AR7"/>
    </row>
    <row r="8" spans="1:45" ht="26.1" customHeight="1" thickBot="1">
      <c r="A8" s="94">
        <v>3</v>
      </c>
      <c r="B8" s="559"/>
      <c r="C8" s="560"/>
      <c r="D8" s="96"/>
      <c r="E8" s="44"/>
      <c r="F8" s="573" t="s">
        <v>2</v>
      </c>
      <c r="G8" s="475">
        <v>3</v>
      </c>
      <c r="H8" s="202" t="str">
        <f t="shared" si="0"/>
        <v/>
      </c>
      <c r="I8" s="125">
        <f>IF(J8=J9,0,IF(J8&lt;J9,2,4))</f>
        <v>0</v>
      </c>
      <c r="J8" s="578"/>
      <c r="K8" s="47"/>
      <c r="L8" s="570" t="s">
        <v>2</v>
      </c>
      <c r="M8" s="521" t="str">
        <f>IF(J10=J11,"Gagnant du 3",IF(J10&gt;J11,H10,H11))</f>
        <v>Gagnant du 3</v>
      </c>
      <c r="N8" s="172">
        <f>IF(O8=O9,0,IF(O8&lt;O9,0,2))</f>
        <v>0</v>
      </c>
      <c r="O8" s="576"/>
      <c r="P8" s="47"/>
      <c r="Q8" s="575" t="s">
        <v>2</v>
      </c>
      <c r="R8" s="529" t="str">
        <f>IF(O8=O9,"Gagnant du 5",IF(O8&gt;O9,M8,M9))</f>
        <v>Gagnant du 5</v>
      </c>
      <c r="S8" s="441">
        <f>IF(T8=T9,0,IF(T8&lt;T9,0,2))</f>
        <v>0</v>
      </c>
      <c r="T8" s="578"/>
      <c r="U8" s="47"/>
      <c r="V8" s="589">
        <v>2</v>
      </c>
      <c r="W8" s="520" t="str">
        <f>IF(T10=T11,"Gagnant du 6",IF(T10&gt;T11,R10,R11))</f>
        <v>Gagnant du 6</v>
      </c>
      <c r="X8" s="130">
        <f>IF(Y7=Y8,0,IF(Y7&gt;Y8,0,2))</f>
        <v>0</v>
      </c>
      <c r="Y8" s="657"/>
      <c r="Z8" s="61"/>
      <c r="AA8" s="137">
        <v>3</v>
      </c>
      <c r="AB8" s="332">
        <f t="shared" ref="AB8:AB23" si="9">+B8</f>
        <v>0</v>
      </c>
      <c r="AC8" s="210" t="str">
        <f t="shared" si="1"/>
        <v/>
      </c>
      <c r="AD8" s="210" t="str">
        <f t="shared" si="2"/>
        <v/>
      </c>
      <c r="AE8" s="210" t="str">
        <f t="shared" si="3"/>
        <v/>
      </c>
      <c r="AF8" s="210" t="str">
        <f t="shared" si="4"/>
        <v/>
      </c>
      <c r="AG8" s="373">
        <f t="shared" si="5"/>
        <v>0</v>
      </c>
      <c r="AH8" s="299">
        <f t="shared" si="6"/>
        <v>1.0018800000000001</v>
      </c>
      <c r="AI8" s="649">
        <f>IF(AB8="","",SMALL(AH$6:AH$23,ROWS(AL$6:AL8)))</f>
        <v>1.0018800000000001</v>
      </c>
      <c r="AJ8" s="652">
        <f>IF(AI8="","",IF(AND(AL7=AL8),$AJ7,$AJ$6+2))</f>
        <v>1</v>
      </c>
      <c r="AK8" s="465">
        <f t="shared" si="7"/>
        <v>0</v>
      </c>
      <c r="AL8" s="468">
        <f t="shared" si="8"/>
        <v>0</v>
      </c>
      <c r="AM8" s="61"/>
      <c r="AN8" s="580" t="s">
        <v>332</v>
      </c>
      <c r="AO8" s="242">
        <v>2</v>
      </c>
      <c r="AP8" s="675" t="s">
        <v>258</v>
      </c>
      <c r="AQ8" s="582">
        <v>7</v>
      </c>
      <c r="AR8"/>
    </row>
    <row r="9" spans="1:45" ht="26.1" customHeight="1" thickBot="1">
      <c r="A9" s="94">
        <v>4</v>
      </c>
      <c r="B9" s="557"/>
      <c r="C9" s="558"/>
      <c r="D9" s="96"/>
      <c r="E9" s="44"/>
      <c r="F9" s="574">
        <v>2</v>
      </c>
      <c r="G9" s="476">
        <v>4</v>
      </c>
      <c r="H9" s="203" t="str">
        <f t="shared" si="0"/>
        <v/>
      </c>
      <c r="I9" s="129">
        <f>IF(J8=J9,0,IF(J8&gt;J9,2,4))</f>
        <v>0</v>
      </c>
      <c r="J9" s="579"/>
      <c r="K9" s="44"/>
      <c r="L9" s="571">
        <v>5</v>
      </c>
      <c r="M9" s="520" t="str">
        <f>IF(J12=J13,"Gagnant du 4",IF(J12&gt;J13,H12,H13))</f>
        <v>Gagnant du 4</v>
      </c>
      <c r="N9" s="130">
        <f>IF(O8=O9,0,IF(O8&gt;O9,0,2))</f>
        <v>0</v>
      </c>
      <c r="O9" s="577"/>
      <c r="P9" s="44"/>
      <c r="Q9" s="572">
        <v>2</v>
      </c>
      <c r="R9" s="530" t="str">
        <f>IF(O10=O11,"Gagnant du 7",IF(O10&gt;O11,M10,M11))</f>
        <v>Gagnant du 7</v>
      </c>
      <c r="S9" s="130">
        <f>IF(T8=T9,0,IF(T8&gt;T9,0,2))</f>
        <v>0</v>
      </c>
      <c r="T9" s="579"/>
      <c r="U9" s="44"/>
      <c r="V9" s="44"/>
      <c r="W9" s="131"/>
      <c r="X9" s="131"/>
      <c r="Y9" s="44"/>
      <c r="Z9" s="113"/>
      <c r="AA9" s="137">
        <v>4</v>
      </c>
      <c r="AB9" s="332">
        <f t="shared" si="9"/>
        <v>0</v>
      </c>
      <c r="AC9" s="210" t="str">
        <f t="shared" si="1"/>
        <v/>
      </c>
      <c r="AD9" s="210" t="str">
        <f t="shared" si="2"/>
        <v/>
      </c>
      <c r="AE9" s="210" t="str">
        <f t="shared" si="3"/>
        <v/>
      </c>
      <c r="AF9" s="210" t="str">
        <f t="shared" si="4"/>
        <v/>
      </c>
      <c r="AG9" s="373">
        <f t="shared" si="5"/>
        <v>0</v>
      </c>
      <c r="AH9" s="299">
        <f t="shared" si="6"/>
        <v>1.0018899999999999</v>
      </c>
      <c r="AI9" s="649">
        <f>IF(AB9="","",SMALL(AH$6:AH$23,ROWS(AL$6:AL9)))</f>
        <v>1.0018899999999999</v>
      </c>
      <c r="AJ9" s="652">
        <f>IF(AI9="","",IF(AND(AL8=AL9),$AJ8,$AJ$6+3))</f>
        <v>1</v>
      </c>
      <c r="AK9" s="465">
        <f t="shared" si="7"/>
        <v>0</v>
      </c>
      <c r="AL9" s="468">
        <f t="shared" si="8"/>
        <v>0</v>
      </c>
      <c r="AM9" s="61"/>
      <c r="AN9" s="580" t="s">
        <v>114</v>
      </c>
      <c r="AO9" s="242">
        <v>2</v>
      </c>
      <c r="AP9" s="137" t="s">
        <v>244</v>
      </c>
      <c r="AQ9" s="266" t="s">
        <v>316</v>
      </c>
      <c r="AR9"/>
    </row>
    <row r="10" spans="1:45" ht="26.1" customHeight="1" thickBot="1">
      <c r="A10" s="94">
        <v>5</v>
      </c>
      <c r="B10" s="559"/>
      <c r="C10" s="560"/>
      <c r="D10" s="96"/>
      <c r="E10" s="44"/>
      <c r="F10" s="573" t="s">
        <v>2</v>
      </c>
      <c r="G10" s="475">
        <v>5</v>
      </c>
      <c r="H10" s="182" t="str">
        <f t="shared" si="0"/>
        <v/>
      </c>
      <c r="I10" s="125">
        <f>IF(J10=J11,0,IF(J10&lt;J11,2,4))</f>
        <v>0</v>
      </c>
      <c r="J10" s="576"/>
      <c r="K10" s="44"/>
      <c r="L10" s="570" t="s">
        <v>2</v>
      </c>
      <c r="M10" s="521" t="str">
        <f>IF(J14=J15,"Gagnant du 5",IF(J14&gt;J15,H14,H15))</f>
        <v>Gagnant du 5</v>
      </c>
      <c r="N10" s="441">
        <f>IF(O10=O11,0,IF(O10&lt;O11,0,2))</f>
        <v>0</v>
      </c>
      <c r="O10" s="576"/>
      <c r="P10" s="44"/>
      <c r="Q10" s="570" t="s">
        <v>2</v>
      </c>
      <c r="R10" s="528" t="str">
        <f>IF(O12=O13,"Gagnant du 1",IF(O12&gt;O13,M12,M13))</f>
        <v>Gagnant du 1</v>
      </c>
      <c r="S10" s="172">
        <f>IF(T10=T11,0,IF(T10&lt;T11,0,2))</f>
        <v>0</v>
      </c>
      <c r="T10" s="576"/>
      <c r="U10" s="44"/>
      <c r="V10" s="44"/>
      <c r="W10" s="131"/>
      <c r="X10" s="131"/>
      <c r="Y10" s="44"/>
      <c r="Z10" s="113"/>
      <c r="AA10" s="137">
        <v>5</v>
      </c>
      <c r="AB10" s="332">
        <f t="shared" si="9"/>
        <v>0</v>
      </c>
      <c r="AC10" s="210" t="str">
        <f t="shared" si="1"/>
        <v/>
      </c>
      <c r="AD10" s="210" t="str">
        <f t="shared" si="2"/>
        <v/>
      </c>
      <c r="AE10" s="210" t="str">
        <f t="shared" si="3"/>
        <v/>
      </c>
      <c r="AF10" s="210" t="str">
        <f t="shared" si="4"/>
        <v/>
      </c>
      <c r="AG10" s="373">
        <f t="shared" si="5"/>
        <v>0</v>
      </c>
      <c r="AH10" s="299">
        <f t="shared" si="6"/>
        <v>1.0019</v>
      </c>
      <c r="AI10" s="649">
        <f>IF(AB10="","",SMALL(AH$6:AH$23,ROWS(AL$6:AL10)))</f>
        <v>1.0019</v>
      </c>
      <c r="AJ10" s="652">
        <f>IF(AI10="","",IF(AND(AL9=AL10),$AJ9,$AJ$6+4))</f>
        <v>1</v>
      </c>
      <c r="AK10" s="465">
        <f t="shared" si="7"/>
        <v>0</v>
      </c>
      <c r="AL10" s="468">
        <f t="shared" si="8"/>
        <v>0</v>
      </c>
      <c r="AM10" s="113"/>
      <c r="AN10" s="580" t="s">
        <v>114</v>
      </c>
      <c r="AO10" s="250">
        <v>2</v>
      </c>
      <c r="AP10" s="138" t="s">
        <v>244</v>
      </c>
      <c r="AQ10" s="258" t="s">
        <v>316</v>
      </c>
      <c r="AR10"/>
    </row>
    <row r="11" spans="1:45" ht="26.1" customHeight="1" thickBot="1">
      <c r="A11" s="94">
        <v>6</v>
      </c>
      <c r="B11" s="557"/>
      <c r="C11" s="558"/>
      <c r="D11" s="96"/>
      <c r="E11" s="44"/>
      <c r="F11" s="574">
        <v>3</v>
      </c>
      <c r="G11" s="476">
        <v>6</v>
      </c>
      <c r="H11" s="198" t="str">
        <f t="shared" si="0"/>
        <v/>
      </c>
      <c r="I11" s="129">
        <f>IF(J10=J11,0,IF(J10&gt;J11,2,4))</f>
        <v>0</v>
      </c>
      <c r="J11" s="577"/>
      <c r="K11" s="47"/>
      <c r="L11" s="571">
        <v>7</v>
      </c>
      <c r="M11" s="520" t="str">
        <f>IF(J16=J17,"Gagnant du 6",IF(J16&gt;J17,H16,H17))</f>
        <v>Gagnant du 6</v>
      </c>
      <c r="N11" s="130">
        <f>IF(O10=O11,0,IF(O10&gt;O11,0,2))</f>
        <v>0</v>
      </c>
      <c r="O11" s="577"/>
      <c r="P11" s="47"/>
      <c r="Q11" s="571">
        <v>6</v>
      </c>
      <c r="R11" s="520" t="str">
        <f>IF(O14=O15,"Gagnant du 9",IF(O14&gt;O15,M14,M15))</f>
        <v>Gagnant du 9</v>
      </c>
      <c r="S11" s="130">
        <f>IF(T10=T11,0,IF(T10&gt;T11,0,2))</f>
        <v>0</v>
      </c>
      <c r="T11" s="577"/>
      <c r="U11" s="47"/>
      <c r="W11" s="533"/>
      <c r="X11" s="143"/>
      <c r="Z11" s="61"/>
      <c r="AA11" s="137">
        <v>6</v>
      </c>
      <c r="AB11" s="332">
        <f t="shared" si="9"/>
        <v>0</v>
      </c>
      <c r="AC11" s="210" t="str">
        <f t="shared" si="1"/>
        <v/>
      </c>
      <c r="AD11" s="210" t="str">
        <f t="shared" si="2"/>
        <v/>
      </c>
      <c r="AE11" s="210" t="str">
        <f t="shared" si="3"/>
        <v/>
      </c>
      <c r="AF11" s="210" t="str">
        <f t="shared" si="4"/>
        <v/>
      </c>
      <c r="AG11" s="373">
        <f t="shared" si="5"/>
        <v>0</v>
      </c>
      <c r="AH11" s="299">
        <f t="shared" si="6"/>
        <v>1.0019100000000001</v>
      </c>
      <c r="AI11" s="649">
        <f>IF(AB11="","",SMALL(AH$6:AH$23,ROWS(AL$6:AL11)))</f>
        <v>1.0019100000000001</v>
      </c>
      <c r="AJ11" s="652">
        <f>IF(AI11="","",IF(AND(AL10=AL11),$AJ10,$AJ$6+5))</f>
        <v>1</v>
      </c>
      <c r="AK11" s="465">
        <f t="shared" si="7"/>
        <v>0</v>
      </c>
      <c r="AL11" s="468">
        <f t="shared" si="8"/>
        <v>0</v>
      </c>
      <c r="AM11" s="113"/>
      <c r="AN11" s="483" t="s">
        <v>118</v>
      </c>
      <c r="AO11" s="240">
        <v>2</v>
      </c>
      <c r="AP11" s="245" t="s">
        <v>247</v>
      </c>
      <c r="AQ11" s="543">
        <v>6</v>
      </c>
      <c r="AR11"/>
    </row>
    <row r="12" spans="1:45" ht="26.1" customHeight="1">
      <c r="A12" s="94">
        <v>7</v>
      </c>
      <c r="B12" s="559"/>
      <c r="C12" s="560"/>
      <c r="D12" s="96"/>
      <c r="E12" s="44"/>
      <c r="F12" s="573" t="s">
        <v>2</v>
      </c>
      <c r="G12" s="475">
        <v>7</v>
      </c>
      <c r="H12" s="202" t="str">
        <f t="shared" si="0"/>
        <v/>
      </c>
      <c r="I12" s="125">
        <f>IF(J12=J13,0,IF(J12&lt;J13,2,4))</f>
        <v>0</v>
      </c>
      <c r="J12" s="578"/>
      <c r="K12" s="44"/>
      <c r="L12" s="570" t="s">
        <v>2</v>
      </c>
      <c r="M12" s="521" t="str">
        <f>IF(J18=J19,"Gagnant du 7",IF(J18&gt;J19,H18,H19))</f>
        <v>Gagnant du 7</v>
      </c>
      <c r="N12" s="172">
        <f>IF(O12=O13,0,IF(O12&lt;O13,0,2))</f>
        <v>0</v>
      </c>
      <c r="O12" s="576"/>
      <c r="P12" s="44"/>
      <c r="Q12" s="44"/>
      <c r="R12" s="143"/>
      <c r="S12" s="131"/>
      <c r="T12" s="44"/>
      <c r="U12" s="44"/>
      <c r="W12" s="533"/>
      <c r="X12" s="143"/>
      <c r="Z12" s="113"/>
      <c r="AA12" s="137">
        <v>7</v>
      </c>
      <c r="AB12" s="332">
        <f t="shared" si="9"/>
        <v>0</v>
      </c>
      <c r="AC12" s="210" t="str">
        <f t="shared" si="1"/>
        <v/>
      </c>
      <c r="AD12" s="210" t="str">
        <f t="shared" si="2"/>
        <v/>
      </c>
      <c r="AE12" s="210" t="str">
        <f t="shared" si="3"/>
        <v/>
      </c>
      <c r="AF12" s="210" t="str">
        <f t="shared" si="4"/>
        <v/>
      </c>
      <c r="AG12" s="373">
        <f t="shared" si="5"/>
        <v>0</v>
      </c>
      <c r="AH12" s="299">
        <f t="shared" si="6"/>
        <v>1.0019199999999999</v>
      </c>
      <c r="AI12" s="649">
        <f>IF(AB12="","",SMALL(AH$6:AH$23,ROWS(AL$6:AL12)))</f>
        <v>1.0019199999999999</v>
      </c>
      <c r="AJ12" s="652">
        <f>IF(AI12="","",IF(AND(AL11=AL12),$AJ11,$AJ$6+6))</f>
        <v>1</v>
      </c>
      <c r="AK12" s="465">
        <f t="shared" si="7"/>
        <v>0</v>
      </c>
      <c r="AL12" s="468">
        <f t="shared" si="8"/>
        <v>0</v>
      </c>
      <c r="AM12" s="61"/>
      <c r="AN12" s="487" t="s">
        <v>20</v>
      </c>
      <c r="AO12" s="242">
        <v>2</v>
      </c>
      <c r="AP12" s="243" t="s">
        <v>248</v>
      </c>
      <c r="AQ12" s="544">
        <v>5</v>
      </c>
      <c r="AR12"/>
    </row>
    <row r="13" spans="1:45" ht="26.1" customHeight="1" thickBot="1">
      <c r="A13" s="94">
        <v>8</v>
      </c>
      <c r="B13" s="557"/>
      <c r="C13" s="558"/>
      <c r="D13" s="96"/>
      <c r="E13" s="44"/>
      <c r="F13" s="574">
        <v>4</v>
      </c>
      <c r="G13" s="476">
        <v>8</v>
      </c>
      <c r="H13" s="203" t="str">
        <f t="shared" si="0"/>
        <v/>
      </c>
      <c r="I13" s="129">
        <f>IF(J12=J13,0,IF(J12&gt;J13,2,4))</f>
        <v>0</v>
      </c>
      <c r="J13" s="579"/>
      <c r="K13" s="44"/>
      <c r="L13" s="572">
        <v>1</v>
      </c>
      <c r="M13" s="520" t="str">
        <f>IF(J20=J21,"Gagnant du 8",IF(J20&gt;J21,H20,H21))</f>
        <v>Gagnant du 8</v>
      </c>
      <c r="N13" s="130">
        <f>IF(O12=O13,0,IF(O12&gt;O13,0,2))</f>
        <v>0</v>
      </c>
      <c r="O13" s="579"/>
      <c r="P13" s="44"/>
      <c r="Q13" s="44"/>
      <c r="R13" s="383" t="s">
        <v>51</v>
      </c>
      <c r="S13" s="131"/>
      <c r="T13" s="44"/>
      <c r="U13" s="44"/>
      <c r="W13" s="533"/>
      <c r="X13" s="143"/>
      <c r="Z13" s="61"/>
      <c r="AA13" s="137">
        <v>8</v>
      </c>
      <c r="AB13" s="332">
        <f t="shared" si="9"/>
        <v>0</v>
      </c>
      <c r="AC13" s="210" t="str">
        <f t="shared" si="1"/>
        <v/>
      </c>
      <c r="AD13" s="210" t="str">
        <f t="shared" si="2"/>
        <v/>
      </c>
      <c r="AE13" s="210" t="str">
        <f t="shared" si="3"/>
        <v/>
      </c>
      <c r="AF13" s="210" t="str">
        <f t="shared" si="4"/>
        <v/>
      </c>
      <c r="AG13" s="373">
        <f t="shared" si="5"/>
        <v>0</v>
      </c>
      <c r="AH13" s="299">
        <f t="shared" si="6"/>
        <v>1.00193</v>
      </c>
      <c r="AI13" s="649">
        <f>IF(AB13="","",SMALL(AH$6:AH$23,ROWS(AL$6:AL13)))</f>
        <v>1.00193</v>
      </c>
      <c r="AJ13" s="652">
        <f>IF(AI13="","",IF(AND(AL12=AL13),$AJ12,$AJ$6+7))</f>
        <v>1</v>
      </c>
      <c r="AK13" s="465">
        <f t="shared" si="7"/>
        <v>0</v>
      </c>
      <c r="AL13" s="468">
        <f t="shared" si="8"/>
        <v>0</v>
      </c>
      <c r="AM13" s="61"/>
      <c r="AN13" s="487" t="s">
        <v>65</v>
      </c>
      <c r="AO13" s="242">
        <v>2</v>
      </c>
      <c r="AP13" s="243" t="s">
        <v>245</v>
      </c>
      <c r="AQ13" s="544">
        <v>4</v>
      </c>
      <c r="AR13"/>
    </row>
    <row r="14" spans="1:45" ht="26.1" customHeight="1" thickBot="1">
      <c r="A14" s="94">
        <v>9</v>
      </c>
      <c r="B14" s="559"/>
      <c r="C14" s="560"/>
      <c r="D14" s="96"/>
      <c r="E14" s="44"/>
      <c r="F14" s="573" t="s">
        <v>2</v>
      </c>
      <c r="G14" s="475">
        <v>9</v>
      </c>
      <c r="H14" s="182" t="str">
        <f t="shared" si="0"/>
        <v/>
      </c>
      <c r="I14" s="125">
        <f>IF(J14=J15,0,IF(J14&lt;J15,2,4))</f>
        <v>0</v>
      </c>
      <c r="J14" s="576"/>
      <c r="K14" s="44"/>
      <c r="L14" s="570" t="s">
        <v>2</v>
      </c>
      <c r="M14" s="527" t="str">
        <f>IF(J22=J23,"Gagnant du 9",IF(J22&gt;J23,H22,H23))</f>
        <v>Gagnant du 9</v>
      </c>
      <c r="N14" s="397">
        <v>1</v>
      </c>
      <c r="O14" s="234">
        <v>1</v>
      </c>
      <c r="P14" s="44"/>
      <c r="Q14" s="522" t="s">
        <v>2</v>
      </c>
      <c r="R14" s="528" t="str">
        <f>IF(O20=O21,"Gagnant du 2",IF(O20&gt;O21,M20,M21))</f>
        <v>Gagnant du 2</v>
      </c>
      <c r="S14" s="177">
        <f>IF(T14=T15,0,IF(T14&lt;T15,0,1))</f>
        <v>0</v>
      </c>
      <c r="T14" s="631"/>
      <c r="U14" s="44"/>
      <c r="W14" s="533"/>
      <c r="X14" s="143"/>
      <c r="Z14" s="61"/>
      <c r="AA14" s="137">
        <v>9</v>
      </c>
      <c r="AB14" s="332">
        <f t="shared" si="9"/>
        <v>0</v>
      </c>
      <c r="AC14" s="210" t="str">
        <f t="shared" si="1"/>
        <v/>
      </c>
      <c r="AD14" s="210" t="str">
        <f t="shared" si="2"/>
        <v/>
      </c>
      <c r="AE14" s="210" t="str">
        <f t="shared" si="3"/>
        <v/>
      </c>
      <c r="AF14" s="210" t="str">
        <f t="shared" si="4"/>
        <v/>
      </c>
      <c r="AG14" s="373">
        <f t="shared" si="5"/>
        <v>0</v>
      </c>
      <c r="AH14" s="299">
        <f t="shared" si="6"/>
        <v>1.0019400000000001</v>
      </c>
      <c r="AI14" s="649">
        <f>IF(AB14="","",SMALL(AH$6:AH$23,ROWS(AL$6:AL14)))</f>
        <v>1.0019400000000001</v>
      </c>
      <c r="AJ14" s="652">
        <f>IF(AI14="","",IF(AND(AL13=AL14),$AJ13,$AJ$6+8))</f>
        <v>1</v>
      </c>
      <c r="AK14" s="465">
        <f t="shared" si="7"/>
        <v>0</v>
      </c>
      <c r="AL14" s="468">
        <f t="shared" si="8"/>
        <v>0</v>
      </c>
      <c r="AM14" s="113"/>
      <c r="AN14" s="488" t="s">
        <v>65</v>
      </c>
      <c r="AO14" s="262">
        <v>2</v>
      </c>
      <c r="AP14" s="247" t="s">
        <v>245</v>
      </c>
      <c r="AQ14" s="544">
        <v>4</v>
      </c>
      <c r="AR14"/>
    </row>
    <row r="15" spans="1:45" ht="26.1" customHeight="1" thickBot="1">
      <c r="A15" s="94">
        <v>10</v>
      </c>
      <c r="B15" s="557"/>
      <c r="C15" s="558"/>
      <c r="D15" s="96"/>
      <c r="E15" s="44"/>
      <c r="F15" s="574">
        <v>5</v>
      </c>
      <c r="G15" s="476">
        <v>10</v>
      </c>
      <c r="H15" s="198" t="str">
        <f t="shared" si="0"/>
        <v/>
      </c>
      <c r="I15" s="129">
        <f>IF(J14=J15,0,IF(J14&gt;J15,2,4))</f>
        <v>0</v>
      </c>
      <c r="J15" s="577"/>
      <c r="K15" s="44"/>
      <c r="L15" s="282">
        <v>9</v>
      </c>
      <c r="M15" s="118" t="s">
        <v>105</v>
      </c>
      <c r="N15" s="398"/>
      <c r="O15" s="268"/>
      <c r="P15" s="44"/>
      <c r="Q15" s="524">
        <v>5</v>
      </c>
      <c r="R15" s="531" t="str">
        <f>IF(O26=O27,"Gagnant du 10",IF(O26&gt;O27,M26,M27))</f>
        <v>Perdant du 9</v>
      </c>
      <c r="S15" s="178">
        <f>IF(T14=T15,0,IF(T14&gt;T15,0,1))</f>
        <v>0</v>
      </c>
      <c r="T15" s="632"/>
      <c r="U15" s="44"/>
      <c r="V15" s="44"/>
      <c r="W15" s="167" t="s">
        <v>10</v>
      </c>
      <c r="X15" s="167"/>
      <c r="Y15" s="44"/>
      <c r="Z15" s="113"/>
      <c r="AA15" s="137">
        <v>10</v>
      </c>
      <c r="AB15" s="332">
        <f t="shared" si="9"/>
        <v>0</v>
      </c>
      <c r="AC15" s="210" t="str">
        <f t="shared" si="1"/>
        <v/>
      </c>
      <c r="AD15" s="210" t="str">
        <f t="shared" si="2"/>
        <v/>
      </c>
      <c r="AE15" s="210" t="str">
        <f t="shared" si="3"/>
        <v/>
      </c>
      <c r="AF15" s="210" t="str">
        <f t="shared" si="4"/>
        <v/>
      </c>
      <c r="AG15" s="373">
        <f t="shared" si="5"/>
        <v>0</v>
      </c>
      <c r="AH15" s="299">
        <f t="shared" si="6"/>
        <v>1.0019500000000001</v>
      </c>
      <c r="AI15" s="649">
        <f>IF(AB15="","",SMALL(AH$6:AH$23,ROWS(AL$6:AL15)))</f>
        <v>1.0019500000000001</v>
      </c>
      <c r="AJ15" s="652">
        <f>IF(AI15="","",IF(AND(AL14=AL15),$AJ14,$AJ$6+9))</f>
        <v>1</v>
      </c>
      <c r="AK15" s="465">
        <f t="shared" si="7"/>
        <v>0</v>
      </c>
      <c r="AL15" s="468">
        <f t="shared" si="8"/>
        <v>0</v>
      </c>
      <c r="AM15" s="113"/>
      <c r="AN15" s="546" t="s">
        <v>117</v>
      </c>
      <c r="AO15" s="240">
        <v>2</v>
      </c>
      <c r="AP15" s="245" t="s">
        <v>249</v>
      </c>
      <c r="AQ15" s="550">
        <v>5</v>
      </c>
      <c r="AR15"/>
    </row>
    <row r="16" spans="1:45" ht="26.1" customHeight="1">
      <c r="A16" s="94">
        <v>11</v>
      </c>
      <c r="B16" s="559"/>
      <c r="C16" s="560"/>
      <c r="D16" s="96"/>
      <c r="E16" s="44"/>
      <c r="F16" s="573" t="s">
        <v>2</v>
      </c>
      <c r="G16" s="475">
        <v>11</v>
      </c>
      <c r="H16" s="202" t="str">
        <f t="shared" si="0"/>
        <v/>
      </c>
      <c r="I16" s="125">
        <f>IF(J16=J17,0,IF(J16&lt;J17,2,4))</f>
        <v>0</v>
      </c>
      <c r="J16" s="578"/>
      <c r="K16" s="44"/>
      <c r="M16" s="260" t="s">
        <v>232</v>
      </c>
      <c r="N16" s="143"/>
      <c r="P16" s="44"/>
      <c r="Q16" s="536" t="s">
        <v>2</v>
      </c>
      <c r="R16" s="521" t="str">
        <f>IF(O22=O23,"Gagnant du 4",IF(O22&gt;O23,M22,M23))</f>
        <v>Gagnant du 4</v>
      </c>
      <c r="S16" s="172">
        <f>IF(T16=T17,0,IF(T16&lt;T17,0,1))</f>
        <v>0</v>
      </c>
      <c r="T16" s="635"/>
      <c r="U16" s="44"/>
      <c r="V16" s="522" t="s">
        <v>2</v>
      </c>
      <c r="W16" s="528" t="str">
        <f>IF(T16=T17,"Gagnant du 3",IF(T16&gt;T17,R16,R17))</f>
        <v>Gagnant du 3</v>
      </c>
      <c r="X16" s="172">
        <f>IF(Y16=Y17,0,IF(Y16&lt;Y17,0,1))</f>
        <v>0</v>
      </c>
      <c r="Y16" s="631"/>
      <c r="Z16" s="113"/>
      <c r="AA16" s="137">
        <v>11</v>
      </c>
      <c r="AB16" s="332">
        <f t="shared" si="9"/>
        <v>0</v>
      </c>
      <c r="AC16" s="210" t="str">
        <f t="shared" si="1"/>
        <v/>
      </c>
      <c r="AD16" s="210" t="str">
        <f t="shared" si="2"/>
        <v/>
      </c>
      <c r="AE16" s="210" t="str">
        <f t="shared" si="3"/>
        <v/>
      </c>
      <c r="AF16" s="210" t="str">
        <f t="shared" si="4"/>
        <v/>
      </c>
      <c r="AG16" s="373">
        <f t="shared" si="5"/>
        <v>0</v>
      </c>
      <c r="AH16" s="299">
        <f t="shared" si="6"/>
        <v>1.00196</v>
      </c>
      <c r="AI16" s="649">
        <f>IF(AB16="","",SMALL(AH$6:AH$23,ROWS(AL$6:AL16)))</f>
        <v>1.00196</v>
      </c>
      <c r="AJ16" s="652">
        <f>IF(AI16="","",IF(AND(AL15=AL16),$AJ15,$AJ$6+10))</f>
        <v>1</v>
      </c>
      <c r="AK16" s="465">
        <f t="shared" si="7"/>
        <v>0</v>
      </c>
      <c r="AL16" s="468">
        <f t="shared" si="8"/>
        <v>0</v>
      </c>
      <c r="AM16" s="113"/>
      <c r="AN16" s="547" t="s">
        <v>18</v>
      </c>
      <c r="AO16" s="242">
        <v>2</v>
      </c>
      <c r="AP16" s="243" t="s">
        <v>250</v>
      </c>
      <c r="AQ16" s="551">
        <v>4</v>
      </c>
      <c r="AR16"/>
    </row>
    <row r="17" spans="1:46" ht="26.1" customHeight="1" thickBot="1">
      <c r="A17" s="94">
        <v>12</v>
      </c>
      <c r="B17" s="557"/>
      <c r="C17" s="558"/>
      <c r="D17" s="96"/>
      <c r="E17" s="44"/>
      <c r="F17" s="574">
        <v>6</v>
      </c>
      <c r="G17" s="476">
        <v>12</v>
      </c>
      <c r="H17" s="203" t="str">
        <f t="shared" si="0"/>
        <v/>
      </c>
      <c r="I17" s="129">
        <f>IF(J16=J17,0,IF(J16&gt;J17,2,4))</f>
        <v>0</v>
      </c>
      <c r="J17" s="579"/>
      <c r="K17" s="44"/>
      <c r="L17" s="44"/>
      <c r="M17" s="382" t="s">
        <v>7</v>
      </c>
      <c r="N17" s="167"/>
      <c r="O17" s="44"/>
      <c r="P17" s="44"/>
      <c r="Q17" s="526">
        <v>3</v>
      </c>
      <c r="R17" s="530" t="str">
        <f>IF(O24=O25,"Gagnant du 6",IF(O24&gt;O25,M24,M25))</f>
        <v>Gagnant du 6</v>
      </c>
      <c r="S17" s="396">
        <f>IF(T16=T17,0,IF(T16&gt;T17,0,1))</f>
        <v>0</v>
      </c>
      <c r="T17" s="634"/>
      <c r="U17" s="44"/>
      <c r="V17" s="524">
        <v>4</v>
      </c>
      <c r="W17" s="520" t="str">
        <f>IF(T14=T15,"Gagnant du 5",IF(T14&gt;T15,R14,R19))</f>
        <v>Gagnant du 5</v>
      </c>
      <c r="X17" s="130">
        <f>IF(Y16=Y17,0,IF(Y16&gt;Y17,0,1))</f>
        <v>0</v>
      </c>
      <c r="Y17" s="632"/>
      <c r="Z17" s="113"/>
      <c r="AA17" s="137">
        <v>12</v>
      </c>
      <c r="AB17" s="332">
        <f t="shared" si="9"/>
        <v>0</v>
      </c>
      <c r="AC17" s="210" t="str">
        <f t="shared" si="1"/>
        <v/>
      </c>
      <c r="AD17" s="210" t="str">
        <f t="shared" si="2"/>
        <v/>
      </c>
      <c r="AE17" s="210" t="str">
        <f t="shared" si="3"/>
        <v/>
      </c>
      <c r="AF17" s="210" t="str">
        <f t="shared" si="4"/>
        <v/>
      </c>
      <c r="AG17" s="373">
        <f t="shared" si="5"/>
        <v>0</v>
      </c>
      <c r="AH17" s="299">
        <f t="shared" si="6"/>
        <v>1.00197</v>
      </c>
      <c r="AI17" s="649">
        <f>IF(AB17="","",SMALL(AH$6:AH$23,ROWS(AL$6:AL17)))</f>
        <v>1.00197</v>
      </c>
      <c r="AJ17" s="652">
        <f>IF(AI17="","",IF(AND(AL16=AL17),$AJ16,$AJ$6+11))</f>
        <v>1</v>
      </c>
      <c r="AK17" s="465">
        <f t="shared" si="7"/>
        <v>0</v>
      </c>
      <c r="AL17" s="468">
        <f t="shared" si="8"/>
        <v>0</v>
      </c>
      <c r="AM17" s="61"/>
      <c r="AN17" s="548" t="s">
        <v>333</v>
      </c>
      <c r="AO17" s="242">
        <v>1</v>
      </c>
      <c r="AP17" s="137" t="s">
        <v>259</v>
      </c>
      <c r="AQ17" s="552">
        <v>3.5</v>
      </c>
      <c r="AR17"/>
    </row>
    <row r="18" spans="1:46" ht="26.1" customHeight="1">
      <c r="A18" s="94">
        <v>13</v>
      </c>
      <c r="B18" s="559"/>
      <c r="C18" s="560"/>
      <c r="D18" s="96"/>
      <c r="E18" s="44"/>
      <c r="F18" s="573" t="s">
        <v>2</v>
      </c>
      <c r="G18" s="475">
        <v>13</v>
      </c>
      <c r="H18" s="182" t="str">
        <f t="shared" si="0"/>
        <v/>
      </c>
      <c r="I18" s="125">
        <f>IF(J18=J19,0,IF(J18&lt;J19,2,4))</f>
        <v>0</v>
      </c>
      <c r="J18" s="576"/>
      <c r="K18" s="44"/>
      <c r="L18" s="522" t="s">
        <v>2</v>
      </c>
      <c r="M18" s="528" t="str">
        <f>IF(J6=J7,"Perdant du 1",IF(J6&lt;J7,H6,H7))</f>
        <v>Perdant du 1</v>
      </c>
      <c r="N18" s="172">
        <f>IF(O18=O19,0,IF(O18&lt;O19,0,1))</f>
        <v>0</v>
      </c>
      <c r="O18" s="631"/>
      <c r="P18" s="44"/>
      <c r="Q18" s="570" t="s">
        <v>2</v>
      </c>
      <c r="R18" s="535" t="str">
        <f>IF(O18=O19,"Gagnant du 8",IF(O18&gt;O19,M18,M19))</f>
        <v>Gagnant du 8</v>
      </c>
      <c r="S18" s="216">
        <v>0.5</v>
      </c>
      <c r="T18" s="121">
        <v>1</v>
      </c>
      <c r="U18" s="44"/>
      <c r="W18" s="533"/>
      <c r="X18" s="143"/>
      <c r="Z18" s="113"/>
      <c r="AA18" s="137">
        <v>13</v>
      </c>
      <c r="AB18" s="332">
        <f t="shared" si="9"/>
        <v>0</v>
      </c>
      <c r="AC18" s="210" t="str">
        <f t="shared" si="1"/>
        <v/>
      </c>
      <c r="AD18" s="210" t="str">
        <f t="shared" si="2"/>
        <v/>
      </c>
      <c r="AE18" s="210" t="str">
        <f t="shared" si="3"/>
        <v/>
      </c>
      <c r="AF18" s="210" t="str">
        <f t="shared" si="4"/>
        <v/>
      </c>
      <c r="AG18" s="373">
        <f t="shared" si="5"/>
        <v>0</v>
      </c>
      <c r="AH18" s="299">
        <f t="shared" si="6"/>
        <v>1.0019800000000001</v>
      </c>
      <c r="AI18" s="649">
        <f>IF(AB18="","",SMALL(AH$6:AH$23,ROWS(AL$6:AL18)))</f>
        <v>1.0019800000000001</v>
      </c>
      <c r="AJ18" s="652">
        <f>IF(AI18="","",IF(AND(AL17=AL18),$AJ17,$AJ$6+12))</f>
        <v>1</v>
      </c>
      <c r="AK18" s="465">
        <f t="shared" si="7"/>
        <v>0</v>
      </c>
      <c r="AL18" s="468">
        <f t="shared" si="8"/>
        <v>0</v>
      </c>
      <c r="AM18" s="61"/>
      <c r="AN18" s="548" t="s">
        <v>64</v>
      </c>
      <c r="AO18" s="242">
        <v>2</v>
      </c>
      <c r="AP18" s="243" t="s">
        <v>251</v>
      </c>
      <c r="AQ18" s="552">
        <v>3</v>
      </c>
      <c r="AR18"/>
    </row>
    <row r="19" spans="1:46" ht="26.1" customHeight="1" thickBot="1">
      <c r="A19" s="94">
        <v>14</v>
      </c>
      <c r="B19" s="557"/>
      <c r="C19" s="558"/>
      <c r="D19" s="96"/>
      <c r="E19" s="44"/>
      <c r="F19" s="574">
        <v>7</v>
      </c>
      <c r="G19" s="476">
        <v>14</v>
      </c>
      <c r="H19" s="198" t="str">
        <f t="shared" si="0"/>
        <v/>
      </c>
      <c r="I19" s="129">
        <f>IF(J18=J19,0,IF(J18&gt;J19,2,4))</f>
        <v>0</v>
      </c>
      <c r="J19" s="577"/>
      <c r="K19" s="44"/>
      <c r="L19" s="524">
        <v>8</v>
      </c>
      <c r="M19" s="521" t="str">
        <f>IF(J8=J9,"Perdant du 2",IF(J8&lt;J9,H8,H9))</f>
        <v>Perdant du 2</v>
      </c>
      <c r="N19" s="130">
        <f>IF(O18=O19,0,IF(O18&gt;O19,0,1))</f>
        <v>0</v>
      </c>
      <c r="O19" s="632"/>
      <c r="P19" s="44"/>
      <c r="Q19" s="282"/>
      <c r="R19" s="118" t="s">
        <v>105</v>
      </c>
      <c r="S19" s="399"/>
      <c r="T19" s="122"/>
      <c r="U19" s="44"/>
      <c r="W19" s="533"/>
      <c r="X19" s="143"/>
      <c r="Z19" s="61"/>
      <c r="AA19" s="137">
        <v>14</v>
      </c>
      <c r="AB19" s="332">
        <f t="shared" si="9"/>
        <v>0</v>
      </c>
      <c r="AC19" s="210" t="str">
        <f t="shared" si="1"/>
        <v/>
      </c>
      <c r="AD19" s="210" t="str">
        <f t="shared" si="2"/>
        <v/>
      </c>
      <c r="AE19" s="210" t="str">
        <f t="shared" si="3"/>
        <v/>
      </c>
      <c r="AF19" s="210" t="str">
        <f t="shared" si="4"/>
        <v/>
      </c>
      <c r="AG19" s="373">
        <f t="shared" si="5"/>
        <v>0</v>
      </c>
      <c r="AH19" s="299">
        <f t="shared" si="6"/>
        <v>1.0019899999999999</v>
      </c>
      <c r="AI19" s="649">
        <f>IF(AB19="","",SMALL(AH$6:AH$23,ROWS(AL$6:AL19)))</f>
        <v>1.0019899999999999</v>
      </c>
      <c r="AJ19" s="652">
        <f>IF(AI19="","",IF(AND(AL18=AL19),$AJ18,$AJ$6+13))</f>
        <v>1</v>
      </c>
      <c r="AK19" s="465">
        <f t="shared" si="7"/>
        <v>0</v>
      </c>
      <c r="AL19" s="468">
        <f t="shared" si="8"/>
        <v>0</v>
      </c>
      <c r="AM19" s="113"/>
      <c r="AN19" s="549" t="s">
        <v>64</v>
      </c>
      <c r="AO19" s="250">
        <v>2</v>
      </c>
      <c r="AP19" s="247" t="s">
        <v>251</v>
      </c>
      <c r="AQ19" s="553" t="s">
        <v>334</v>
      </c>
      <c r="AR19"/>
    </row>
    <row r="20" spans="1:46" ht="26.1" customHeight="1">
      <c r="A20" s="94">
        <v>15</v>
      </c>
      <c r="B20" s="559"/>
      <c r="C20" s="560"/>
      <c r="D20" s="96"/>
      <c r="E20" s="44"/>
      <c r="F20" s="573" t="s">
        <v>2</v>
      </c>
      <c r="G20" s="475">
        <v>15</v>
      </c>
      <c r="H20" s="182" t="str">
        <f t="shared" si="0"/>
        <v/>
      </c>
      <c r="I20" s="125">
        <f>IF(J20=J21,0,IF(J20&lt;J21,2,4))</f>
        <v>0</v>
      </c>
      <c r="J20" s="576"/>
      <c r="K20" s="44"/>
      <c r="L20" s="522" t="s">
        <v>2</v>
      </c>
      <c r="M20" s="528" t="str">
        <f>IF(J10=J11,"Perdant du 3",IF(J10&lt;J11,H10,H11))</f>
        <v>Perdant du 3</v>
      </c>
      <c r="N20" s="172">
        <f>IF(O20=O21,0,IF(O20&lt;O21,0,1))</f>
        <v>0</v>
      </c>
      <c r="O20" s="631"/>
      <c r="P20" s="44"/>
      <c r="Q20" s="44"/>
      <c r="R20" s="131"/>
      <c r="S20" s="131"/>
      <c r="T20" s="44"/>
      <c r="U20" s="44"/>
      <c r="W20" s="533"/>
      <c r="X20" s="143"/>
      <c r="Z20" s="61"/>
      <c r="AA20" s="137">
        <v>15</v>
      </c>
      <c r="AB20" s="332">
        <f t="shared" si="9"/>
        <v>0</v>
      </c>
      <c r="AC20" s="210" t="str">
        <f t="shared" si="1"/>
        <v/>
      </c>
      <c r="AD20" s="210" t="str">
        <f t="shared" si="2"/>
        <v/>
      </c>
      <c r="AE20" s="210" t="str">
        <f t="shared" si="3"/>
        <v/>
      </c>
      <c r="AF20" s="210" t="str">
        <f t="shared" si="4"/>
        <v/>
      </c>
      <c r="AG20" s="373">
        <f t="shared" si="5"/>
        <v>0</v>
      </c>
      <c r="AH20" s="299">
        <f t="shared" si="6"/>
        <v>1.002</v>
      </c>
      <c r="AI20" s="649">
        <f>IF(AB20="","",SMALL(AH$6:AH$23,ROWS(AL$6:AL20)))</f>
        <v>1.002</v>
      </c>
      <c r="AJ20" s="652">
        <f>IF(AI20="","",IF(AND(AL19=AL20),$AJ19,$AJ$6+14))</f>
        <v>1</v>
      </c>
      <c r="AK20" s="465">
        <f t="shared" si="7"/>
        <v>0</v>
      </c>
      <c r="AL20" s="468">
        <f t="shared" si="8"/>
        <v>0</v>
      </c>
      <c r="AM20" s="113"/>
      <c r="AN20" s="518" t="s">
        <v>116</v>
      </c>
      <c r="AO20" s="254">
        <v>2</v>
      </c>
      <c r="AP20" s="245" t="s">
        <v>246</v>
      </c>
      <c r="AQ20" s="136">
        <f t="shared" ref="AQ20:AQ23" si="10">SUM(AO20:AP20)</f>
        <v>2</v>
      </c>
      <c r="AR20"/>
    </row>
    <row r="21" spans="1:46" ht="25.5" customHeight="1" thickBot="1">
      <c r="A21" s="94">
        <v>16</v>
      </c>
      <c r="B21" s="545"/>
      <c r="C21" s="558"/>
      <c r="D21" s="96"/>
      <c r="E21" s="44"/>
      <c r="F21" s="574">
        <v>8</v>
      </c>
      <c r="G21" s="476">
        <v>16</v>
      </c>
      <c r="H21" s="198" t="str">
        <f t="shared" si="0"/>
        <v/>
      </c>
      <c r="I21" s="129">
        <f>IF(J20=J21,0,IF(J20&gt;J21,2,4))</f>
        <v>0</v>
      </c>
      <c r="J21" s="577"/>
      <c r="K21" s="44"/>
      <c r="L21" s="524">
        <v>2</v>
      </c>
      <c r="M21" s="521" t="str">
        <f>IF(J12=J13,"Perdant du 4",IF(I12&lt;J13,H12,H13))</f>
        <v>Perdant du 4</v>
      </c>
      <c r="N21" s="130">
        <f>IF(O20=O21,0,IF(O20&gt;O21,0,1))</f>
        <v>0</v>
      </c>
      <c r="O21" s="632"/>
      <c r="P21" s="44"/>
      <c r="Q21" s="44"/>
      <c r="R21" s="131"/>
      <c r="S21" s="131"/>
      <c r="T21" s="44"/>
      <c r="U21" s="44"/>
      <c r="V21" s="44"/>
      <c r="W21" s="131"/>
      <c r="X21" s="135"/>
      <c r="Y21" s="44"/>
      <c r="Z21" s="113"/>
      <c r="AA21" s="137">
        <v>16</v>
      </c>
      <c r="AB21" s="332">
        <f t="shared" si="9"/>
        <v>0</v>
      </c>
      <c r="AC21" s="210" t="str">
        <f t="shared" si="1"/>
        <v/>
      </c>
      <c r="AD21" s="210" t="str">
        <f t="shared" si="2"/>
        <v/>
      </c>
      <c r="AE21" s="210" t="str">
        <f t="shared" si="3"/>
        <v/>
      </c>
      <c r="AF21" s="210" t="str">
        <f t="shared" si="4"/>
        <v/>
      </c>
      <c r="AG21" s="373">
        <f t="shared" si="5"/>
        <v>0</v>
      </c>
      <c r="AH21" s="299">
        <f t="shared" si="6"/>
        <v>1.0020100000000001</v>
      </c>
      <c r="AI21" s="649">
        <f>IF(AB21="","",SMALL(AH$6:AH$23,ROWS(AL$6:AL21)))</f>
        <v>1.0020100000000001</v>
      </c>
      <c r="AJ21" s="652">
        <f>IF(AI21="","",IF(AND(AL20=AL21),$AJ20,$AJ$6+15))</f>
        <v>1</v>
      </c>
      <c r="AK21" s="465">
        <f t="shared" si="7"/>
        <v>0</v>
      </c>
      <c r="AL21" s="468">
        <f t="shared" si="8"/>
        <v>0</v>
      </c>
      <c r="AM21" s="113"/>
      <c r="AN21" s="563" t="s">
        <v>116</v>
      </c>
      <c r="AO21" s="255">
        <v>2</v>
      </c>
      <c r="AP21" s="243" t="s">
        <v>246</v>
      </c>
      <c r="AQ21" s="137">
        <f t="shared" si="10"/>
        <v>2</v>
      </c>
      <c r="AR21"/>
    </row>
    <row r="22" spans="1:46" ht="25.5" customHeight="1">
      <c r="A22" s="222">
        <v>17</v>
      </c>
      <c r="B22" s="559"/>
      <c r="C22" s="560"/>
      <c r="D22" s="223"/>
      <c r="E22" s="44"/>
      <c r="F22" s="573" t="s">
        <v>2</v>
      </c>
      <c r="G22" s="475">
        <v>17</v>
      </c>
      <c r="H22" s="182" t="str">
        <f t="shared" si="0"/>
        <v/>
      </c>
      <c r="I22" s="125">
        <f>IF(J22=J23,0,IF(J22&lt;J23,2,4))</f>
        <v>0</v>
      </c>
      <c r="J22" s="576"/>
      <c r="K22" s="44"/>
      <c r="L22" s="522" t="s">
        <v>2</v>
      </c>
      <c r="M22" s="528" t="str">
        <f>IF(J14=J15,"Perdant du 5",IF(J14&lt;J15,H14,H15))</f>
        <v>Perdant du 5</v>
      </c>
      <c r="N22" s="172">
        <f>IF(O22=O23,0,IF(O22&lt;O23,0,1))</f>
        <v>0</v>
      </c>
      <c r="O22" s="631"/>
      <c r="P22" s="44"/>
      <c r="Q22" s="44"/>
      <c r="R22" s="533"/>
      <c r="S22" s="131"/>
      <c r="T22" s="44"/>
      <c r="U22" s="44"/>
      <c r="V22" s="44"/>
      <c r="W22" s="131"/>
      <c r="X22" s="135"/>
      <c r="Y22" s="44"/>
      <c r="Z22" s="113"/>
      <c r="AA22" s="137">
        <v>17</v>
      </c>
      <c r="AB22" s="332">
        <f t="shared" si="9"/>
        <v>0</v>
      </c>
      <c r="AC22" s="210" t="str">
        <f t="shared" si="1"/>
        <v/>
      </c>
      <c r="AD22" s="210" t="str">
        <f t="shared" si="2"/>
        <v/>
      </c>
      <c r="AE22" s="210" t="str">
        <f t="shared" si="3"/>
        <v/>
      </c>
      <c r="AF22" s="210" t="str">
        <f t="shared" si="4"/>
        <v/>
      </c>
      <c r="AG22" s="373">
        <f t="shared" si="5"/>
        <v>0</v>
      </c>
      <c r="AH22" s="299">
        <f t="shared" si="6"/>
        <v>1.0020200000000001</v>
      </c>
      <c r="AI22" s="649">
        <f>IF(AB22="","",SMALL(AH$6:AH$23,ROWS(AL$6:AL22)))</f>
        <v>1.0020200000000001</v>
      </c>
      <c r="AJ22" s="652">
        <f>IF(AI22="","",IF(AND(AL21=AL22),$AJ21,$AJ$6+16))</f>
        <v>1</v>
      </c>
      <c r="AK22" s="465">
        <f t="shared" si="7"/>
        <v>0</v>
      </c>
      <c r="AL22" s="468">
        <f t="shared" si="8"/>
        <v>0</v>
      </c>
      <c r="AM22" s="113"/>
      <c r="AN22" s="563" t="s">
        <v>116</v>
      </c>
      <c r="AO22" s="255">
        <v>2</v>
      </c>
      <c r="AP22" s="243" t="s">
        <v>246</v>
      </c>
      <c r="AQ22" s="137">
        <f t="shared" si="10"/>
        <v>2</v>
      </c>
      <c r="AR22"/>
    </row>
    <row r="23" spans="1:46" ht="25.5" customHeight="1" thickBot="1">
      <c r="A23" s="110">
        <v>18</v>
      </c>
      <c r="B23" s="592"/>
      <c r="C23" s="588"/>
      <c r="D23" s="111"/>
      <c r="E23" s="44"/>
      <c r="F23" s="574">
        <v>9</v>
      </c>
      <c r="G23" s="476">
        <v>18</v>
      </c>
      <c r="H23" s="198" t="str">
        <f t="shared" si="0"/>
        <v/>
      </c>
      <c r="I23" s="129">
        <f>IF(J22=J23,0,IF(J22&gt;J23,2,4))</f>
        <v>0</v>
      </c>
      <c r="J23" s="577"/>
      <c r="K23" s="44"/>
      <c r="L23" s="526">
        <v>4</v>
      </c>
      <c r="M23" s="527" t="str">
        <f>IF(J16=J17,"Perdant du 6",IF(J16&lt;J17,H16,H17))</f>
        <v>Perdant du 6</v>
      </c>
      <c r="N23" s="130">
        <f>IF(O22=O23,0,IF(O22&gt;O23,0,1))</f>
        <v>0</v>
      </c>
      <c r="O23" s="634"/>
      <c r="P23" s="44"/>
      <c r="R23" s="147" t="s">
        <v>53</v>
      </c>
      <c r="S23" s="143"/>
      <c r="U23" s="44"/>
      <c r="V23" s="44"/>
      <c r="W23" s="131"/>
      <c r="X23" s="135"/>
      <c r="Y23" s="44"/>
      <c r="Z23" s="113"/>
      <c r="AA23" s="138">
        <v>18</v>
      </c>
      <c r="AB23" s="333">
        <f t="shared" si="9"/>
        <v>0</v>
      </c>
      <c r="AC23" s="236" t="str">
        <f t="shared" si="1"/>
        <v/>
      </c>
      <c r="AD23" s="236" t="str">
        <f t="shared" si="2"/>
        <v/>
      </c>
      <c r="AE23" s="236" t="str">
        <f t="shared" si="3"/>
        <v/>
      </c>
      <c r="AF23" s="236" t="str">
        <f t="shared" si="4"/>
        <v/>
      </c>
      <c r="AG23" s="335">
        <f t="shared" si="5"/>
        <v>0</v>
      </c>
      <c r="AH23" s="336">
        <f t="shared" si="6"/>
        <v>1.00203</v>
      </c>
      <c r="AI23" s="650">
        <f>IF(AB23="","",SMALL(AH$6:AH$23,ROWS(AL$6:AL23)))</f>
        <v>1.00203</v>
      </c>
      <c r="AJ23" s="653">
        <f>IF(AI23="","",IF(AND(AL22=AL23),$AJ22,$AJ$6+17))</f>
        <v>1</v>
      </c>
      <c r="AK23" s="470">
        <f t="shared" si="7"/>
        <v>0</v>
      </c>
      <c r="AL23" s="469">
        <f t="shared" si="8"/>
        <v>0</v>
      </c>
      <c r="AM23" s="113"/>
      <c r="AN23" s="142" t="s">
        <v>116</v>
      </c>
      <c r="AO23" s="253">
        <v>2</v>
      </c>
      <c r="AP23" s="247" t="s">
        <v>246</v>
      </c>
      <c r="AQ23" s="138">
        <f t="shared" si="10"/>
        <v>2</v>
      </c>
      <c r="AR23"/>
    </row>
    <row r="24" spans="1:46" ht="25.5" customHeight="1" thickBo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522" t="s">
        <v>2</v>
      </c>
      <c r="M24" s="528" t="str">
        <f>IF(J18=J19,"Perdant du 7",IF(J18&lt;J19,H18,H19))</f>
        <v>Perdant du 7</v>
      </c>
      <c r="N24" s="172">
        <f>IF(O24=O25,0,IF(O24&lt;O25,0,1))</f>
        <v>0</v>
      </c>
      <c r="O24" s="631"/>
      <c r="P24" s="44"/>
      <c r="Q24" s="483" t="s">
        <v>2</v>
      </c>
      <c r="R24" s="528" t="str">
        <f>IF(O6=O7,"Perdant du 3",IF(O6&lt;O7,M6,M7))</f>
        <v>Perdant du 3</v>
      </c>
      <c r="S24" s="126">
        <f>IF(T24=T25,0,IF(T24&lt;T25,0,1))</f>
        <v>0</v>
      </c>
      <c r="T24" s="511"/>
      <c r="U24" s="44"/>
      <c r="V24" s="44"/>
      <c r="W24" s="147" t="s">
        <v>11</v>
      </c>
      <c r="X24" s="131"/>
      <c r="Y24" s="44"/>
      <c r="Z24" s="113"/>
      <c r="AA24" s="113"/>
      <c r="AB24" s="113"/>
      <c r="AC24" s="113">
        <f>SUM(AC6:AC23)</f>
        <v>0</v>
      </c>
      <c r="AD24" s="113">
        <f>SUM(AD6:AD23)</f>
        <v>0</v>
      </c>
      <c r="AE24" s="113">
        <f>SUM(AE6:AE23)</f>
        <v>0</v>
      </c>
      <c r="AF24" s="113">
        <f>SUM(AF6:AF23)</f>
        <v>0</v>
      </c>
      <c r="AG24" s="113">
        <f>SUM(AG6:AG23)</f>
        <v>0</v>
      </c>
      <c r="AH24" s="113"/>
      <c r="AI24" s="113"/>
      <c r="AJ24"/>
      <c r="AK24" s="113"/>
      <c r="AL24" s="113">
        <f>SUM(AL6:AL23)</f>
        <v>0</v>
      </c>
      <c r="AM24" s="113"/>
      <c r="AN24" s="113"/>
      <c r="AO24" s="113"/>
      <c r="AP24" s="113"/>
      <c r="AQ24"/>
      <c r="AR24" s="161"/>
    </row>
    <row r="25" spans="1:46" ht="25.5" customHeight="1" thickBo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524">
        <v>6</v>
      </c>
      <c r="M25" s="534" t="str">
        <f>IF(J20=J21,"Perdant du 8",IF(J20&lt;J21,H20,H21))</f>
        <v>Perdant du 8</v>
      </c>
      <c r="N25" s="441">
        <f>IF(O24=O25,0,IF(O24&gt;O25,0,1))</f>
        <v>0</v>
      </c>
      <c r="O25" s="632"/>
      <c r="P25" s="44"/>
      <c r="Q25" s="484">
        <v>4</v>
      </c>
      <c r="R25" s="520" t="str">
        <f>IF(O8=O9,"Perdant du 5",IF(O8&lt;O9,M8,M9))</f>
        <v>Perdant du 5</v>
      </c>
      <c r="S25" s="130">
        <f>IF(T24=T25,0,IF(T24&gt;T25,0,1))</f>
        <v>0</v>
      </c>
      <c r="T25" s="512"/>
      <c r="U25" s="44"/>
      <c r="V25" s="108" t="s">
        <v>2</v>
      </c>
      <c r="W25" s="535" t="str">
        <f>IF(T24=T25,"Gagnant du 4",IF(T24&gt;T25,R24,R25))</f>
        <v>Gagnant du 4</v>
      </c>
      <c r="X25" s="177">
        <f>IF(Y25=Y26,0,IF(Y25&lt;Y26,0,1))</f>
        <v>0</v>
      </c>
      <c r="Y25" s="756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61"/>
      <c r="AO25" s="161"/>
      <c r="AP25" s="161"/>
      <c r="AQ25" s="161"/>
      <c r="AR25" s="161"/>
    </row>
    <row r="26" spans="1:46" ht="25.5" customHeight="1" thickBot="1">
      <c r="A26" s="44"/>
      <c r="B26" s="421" t="s">
        <v>141</v>
      </c>
      <c r="C26" s="44"/>
      <c r="D26" s="44"/>
      <c r="E26" s="44"/>
      <c r="F26" s="47"/>
      <c r="G26" s="47"/>
      <c r="H26" s="144"/>
      <c r="I26" s="44"/>
      <c r="J26" s="47"/>
      <c r="K26" s="44"/>
      <c r="L26" s="522" t="s">
        <v>2</v>
      </c>
      <c r="M26" s="528" t="str">
        <f>IF(J22=J23,"Perdant du 9",IF(J22&lt;J23,H22,H23))</f>
        <v>Perdant du 9</v>
      </c>
      <c r="N26" s="397">
        <v>0.5</v>
      </c>
      <c r="O26" s="121">
        <v>1</v>
      </c>
      <c r="P26" s="44"/>
      <c r="Q26" s="509" t="s">
        <v>2</v>
      </c>
      <c r="R26" s="521" t="str">
        <f>IF(O10=O11,"Perdant du 7",IF(O10&lt;O11,M10,M11))</f>
        <v>Perdant du 7</v>
      </c>
      <c r="S26" s="400">
        <f>IF(T26=T27,0,IF(T26&lt;T27,0,1))</f>
        <v>0</v>
      </c>
      <c r="T26" s="636"/>
      <c r="U26" s="44"/>
      <c r="V26" s="109">
        <v>6</v>
      </c>
      <c r="W26" s="520" t="str">
        <f>IF(T26=T27,"Gagnant du 8",IF(T26&gt;T27,R26,R27))</f>
        <v>Gagnant du 8</v>
      </c>
      <c r="X26" s="178">
        <f>IF(Y25=Y26,0,IF(Y25&gt;Y26,0,1))</f>
        <v>0</v>
      </c>
      <c r="Y26" s="757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61"/>
      <c r="AO26" s="161"/>
      <c r="AP26" s="161"/>
      <c r="AQ26" s="161"/>
      <c r="AR26" s="161"/>
    </row>
    <row r="27" spans="1:46" ht="24.75" customHeight="1" thickBot="1">
      <c r="A27" s="44"/>
      <c r="B27" s="648" t="s">
        <v>45</v>
      </c>
      <c r="I27" s="44"/>
      <c r="J27" s="44"/>
      <c r="K27" s="44"/>
      <c r="L27" s="282">
        <v>10</v>
      </c>
      <c r="M27" s="118" t="s">
        <v>105</v>
      </c>
      <c r="N27" s="398"/>
      <c r="O27" s="122"/>
      <c r="P27" s="44"/>
      <c r="Q27" s="484">
        <v>8</v>
      </c>
      <c r="R27" s="534" t="str">
        <f>IF(O12=O13,"Perdant du 1",IF(O12&lt;O13,M12,M13))</f>
        <v>Perdant du 1</v>
      </c>
      <c r="S27" s="130">
        <f>IF(T26=T27,0,IF(T26&gt;T27,0,1))</f>
        <v>0</v>
      </c>
      <c r="T27" s="512"/>
      <c r="U27" s="44"/>
      <c r="V27" s="44"/>
      <c r="W27" s="44"/>
      <c r="X27" s="44"/>
      <c r="Y27" s="189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M27" s="113"/>
      <c r="AN27" s="161"/>
      <c r="AO27" s="161"/>
      <c r="AP27" s="161"/>
      <c r="AQ27" s="161"/>
      <c r="AR27" s="161"/>
    </row>
    <row r="28" spans="1:46" ht="18.75">
      <c r="A28" s="44"/>
      <c r="B28" s="161"/>
      <c r="C28" s="44"/>
      <c r="D28" s="44"/>
      <c r="E28" s="44"/>
      <c r="F28" s="44"/>
      <c r="G28" s="44"/>
      <c r="H28" s="44"/>
      <c r="I28" s="44"/>
      <c r="J28" s="189"/>
      <c r="K28" s="189"/>
      <c r="L28" s="61"/>
      <c r="M28" s="283"/>
      <c r="N28" s="61"/>
      <c r="O28" s="61"/>
      <c r="P28" s="189"/>
      <c r="U28" s="44"/>
      <c r="V28" s="44"/>
      <c r="W28" s="44"/>
      <c r="X28" s="44"/>
      <c r="Y28" s="18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89"/>
      <c r="AN28" s="161"/>
      <c r="AO28" s="161"/>
      <c r="AP28" s="161"/>
      <c r="AQ28" s="161"/>
      <c r="AR28" s="161"/>
    </row>
    <row r="29" spans="1:46" ht="19.5" thickBot="1">
      <c r="A29" s="189"/>
      <c r="B29" s="189"/>
      <c r="C29" s="189"/>
      <c r="D29" s="189"/>
      <c r="E29" s="189"/>
      <c r="F29" s="189"/>
      <c r="G29" s="189"/>
      <c r="H29" s="47"/>
      <c r="I29" s="44"/>
      <c r="J29" s="189"/>
      <c r="K29" s="189"/>
      <c r="L29" s="44"/>
      <c r="M29" s="44"/>
      <c r="N29" s="113"/>
      <c r="O29" s="44"/>
      <c r="P29" s="189"/>
      <c r="Q29" s="44"/>
      <c r="R29" s="44"/>
      <c r="S29" s="44"/>
      <c r="T29" s="44"/>
      <c r="U29" s="44"/>
      <c r="V29" s="189"/>
      <c r="W29" s="189"/>
      <c r="X29" s="189"/>
      <c r="Y29" s="18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89"/>
      <c r="AN29" s="161"/>
      <c r="AO29" s="161"/>
      <c r="AP29" s="161"/>
      <c r="AQ29" s="161"/>
      <c r="AR29" s="161"/>
    </row>
    <row r="30" spans="1:46" ht="23.25" customHeight="1" thickBot="1">
      <c r="A30" s="189"/>
      <c r="F30" s="189"/>
      <c r="G30" s="189"/>
      <c r="H30" s="189"/>
      <c r="I30" s="135">
        <f>SUM(I6:I23)</f>
        <v>0</v>
      </c>
      <c r="J30" s="279"/>
      <c r="K30" s="279"/>
      <c r="L30" s="279"/>
      <c r="M30" s="135"/>
      <c r="N30" s="131">
        <f>SUM(N6:N27)</f>
        <v>1.5</v>
      </c>
      <c r="O30" s="135"/>
      <c r="P30" s="135"/>
      <c r="Q30" s="279"/>
      <c r="R30" s="143"/>
      <c r="S30" s="135">
        <f>SUM(S6:S27)</f>
        <v>1.5</v>
      </c>
      <c r="T30" s="143"/>
      <c r="U30" s="143"/>
      <c r="V30" s="279"/>
      <c r="W30" s="279"/>
      <c r="X30" s="135">
        <f>SUM(X7:X27)</f>
        <v>0</v>
      </c>
      <c r="Y30" s="279"/>
      <c r="Z30" s="279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1">
        <f>SUM(I30:Z30)</f>
        <v>3</v>
      </c>
      <c r="AL30" s="271">
        <f>SUM(AL6:AL23)</f>
        <v>0</v>
      </c>
      <c r="AM30" s="189"/>
      <c r="AN30" s="161"/>
      <c r="AO30" s="161"/>
      <c r="AP30" s="161"/>
      <c r="AQ30" s="161"/>
      <c r="AR30" s="161">
        <f>SUM(AR6:AR29)</f>
        <v>0</v>
      </c>
    </row>
    <row r="31" spans="1:46" ht="18.75">
      <c r="A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9"/>
      <c r="Q31" s="189"/>
      <c r="R31" s="189"/>
      <c r="W31" s="189"/>
      <c r="X31" s="189"/>
      <c r="Y31" s="189"/>
      <c r="Z31" s="18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89"/>
      <c r="AP31" s="161"/>
      <c r="AQ31" s="161"/>
      <c r="AR31" s="161"/>
      <c r="AS31" s="161"/>
      <c r="AT31" s="161"/>
    </row>
    <row r="32" spans="1:46" ht="18.75">
      <c r="A32" s="189"/>
      <c r="F32" s="189"/>
      <c r="G32" s="189"/>
      <c r="H32" s="189"/>
      <c r="I32" s="189">
        <v>54</v>
      </c>
      <c r="J32" s="189"/>
      <c r="K32" s="189"/>
      <c r="N32" s="189">
        <v>13.5</v>
      </c>
      <c r="O32" s="189"/>
      <c r="P32" s="199"/>
      <c r="Q32" s="189"/>
      <c r="S32" s="45">
        <v>9.5</v>
      </c>
      <c r="W32" s="189"/>
      <c r="X32" s="47">
        <v>4</v>
      </c>
      <c r="Y32" s="47"/>
      <c r="Z32" s="113"/>
      <c r="AA32" s="44"/>
      <c r="AK32" s="161">
        <f>SUM(I32:X32)</f>
        <v>81</v>
      </c>
    </row>
    <row r="33" spans="2:22" ht="18.75">
      <c r="H33" s="189"/>
      <c r="I33" s="189"/>
      <c r="J33" s="189"/>
      <c r="M33" s="189"/>
      <c r="N33" s="189"/>
      <c r="O33" s="199"/>
      <c r="P33" s="189"/>
      <c r="V33" s="189"/>
    </row>
    <row r="34" spans="2:22" ht="18.75">
      <c r="H34" s="189"/>
      <c r="M34" s="189"/>
      <c r="N34" s="189"/>
      <c r="O34" s="199"/>
      <c r="P34" s="189"/>
      <c r="R34" s="189"/>
      <c r="T34" s="44"/>
      <c r="U34" s="44"/>
    </row>
    <row r="35" spans="2:22" ht="18.75">
      <c r="B35" s="44"/>
      <c r="C35" s="44" t="s">
        <v>41</v>
      </c>
      <c r="D35" s="44"/>
      <c r="E35" s="189"/>
      <c r="R35" s="189"/>
      <c r="S35" s="189"/>
      <c r="T35" s="189"/>
      <c r="U35" s="189"/>
    </row>
    <row r="36" spans="2:22" ht="18.75">
      <c r="B36" s="144" t="s">
        <v>42</v>
      </c>
      <c r="C36" s="214" t="s">
        <v>101</v>
      </c>
      <c r="D36" s="44"/>
      <c r="E36" s="189"/>
      <c r="R36" s="189"/>
      <c r="S36" s="189"/>
      <c r="T36" s="189"/>
      <c r="U36" s="189"/>
    </row>
    <row r="37" spans="2:22" ht="18.75">
      <c r="B37" s="145" t="s">
        <v>43</v>
      </c>
      <c r="C37" s="214" t="s">
        <v>102</v>
      </c>
      <c r="D37" s="41"/>
      <c r="E37" s="189"/>
      <c r="S37" s="189"/>
      <c r="T37" s="189"/>
      <c r="U37" s="189"/>
    </row>
    <row r="38" spans="2:22" ht="18.75">
      <c r="S38" s="189"/>
      <c r="T38" s="189"/>
      <c r="U38" s="189"/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4:AL4"/>
    <mergeCell ref="AO4:AQ4"/>
  </mergeCells>
  <conditionalFormatting sqref="AJ6:AJ23">
    <cfRule type="duplicateValues" dxfId="4" priority="1"/>
  </conditionalFormatting>
  <pageMargins left="0.19" right="0.16" top="0.23622047244094491" bottom="0.4" header="0.15748031496062992" footer="0.27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00"/>
  </sheetPr>
  <dimension ref="A1:AT38"/>
  <sheetViews>
    <sheetView zoomScale="50" zoomScaleNormal="50" workbookViewId="0">
      <selection activeCell="Y24" sqref="Y24:Y25"/>
    </sheetView>
  </sheetViews>
  <sheetFormatPr baseColWidth="10" defaultRowHeight="15"/>
  <cols>
    <col min="1" max="1" width="7.28515625" style="45" customWidth="1"/>
    <col min="2" max="2" width="30" style="45" customWidth="1"/>
    <col min="3" max="3" width="22.85546875" style="45" customWidth="1"/>
    <col min="4" max="4" width="8.85546875" style="45" customWidth="1"/>
    <col min="5" max="5" width="6.5703125" style="45" customWidth="1"/>
    <col min="6" max="6" width="8.140625" style="45" customWidth="1"/>
    <col min="7" max="7" width="7.140625" style="45" hidden="1" customWidth="1"/>
    <col min="8" max="8" width="29.140625" style="45" customWidth="1"/>
    <col min="9" max="9" width="12.5703125" style="45" hidden="1" customWidth="1"/>
    <col min="10" max="10" width="9.85546875" style="45" customWidth="1"/>
    <col min="11" max="11" width="7.85546875" style="45" customWidth="1"/>
    <col min="12" max="12" width="10.85546875" style="45" customWidth="1"/>
    <col min="13" max="13" width="31" style="45" customWidth="1"/>
    <col min="14" max="14" width="8.5703125" style="45" hidden="1" customWidth="1"/>
    <col min="15" max="15" width="8.42578125" style="45" customWidth="1"/>
    <col min="16" max="16" width="8.28515625" style="45" customWidth="1"/>
    <col min="17" max="17" width="9.85546875" style="45" customWidth="1"/>
    <col min="18" max="18" width="28.7109375" style="45" customWidth="1"/>
    <col min="19" max="19" width="9.28515625" style="45" hidden="1" customWidth="1"/>
    <col min="20" max="20" width="7.85546875" style="45" customWidth="1"/>
    <col min="21" max="21" width="5.7109375" style="45" customWidth="1"/>
    <col min="22" max="22" width="9.140625" style="45" customWidth="1"/>
    <col min="23" max="23" width="29" style="45" customWidth="1"/>
    <col min="24" max="24" width="9.7109375" style="45" hidden="1" customWidth="1"/>
    <col min="25" max="25" width="10.42578125" style="45" customWidth="1"/>
    <col min="26" max="26" width="5.42578125" style="45" customWidth="1"/>
    <col min="27" max="27" width="8.28515625" style="45" hidden="1" customWidth="1"/>
    <col min="28" max="28" width="25.7109375" style="45" hidden="1" customWidth="1"/>
    <col min="29" max="32" width="8.7109375" style="45" hidden="1" customWidth="1"/>
    <col min="33" max="34" width="11.140625" style="45" hidden="1" customWidth="1"/>
    <col min="35" max="35" width="12.140625" style="45" hidden="1" customWidth="1"/>
    <col min="36" max="36" width="16.7109375" style="45" customWidth="1"/>
    <col min="37" max="37" width="35.5703125" style="45" customWidth="1"/>
    <col min="38" max="38" width="20.5703125" style="45" customWidth="1"/>
    <col min="39" max="39" width="8.85546875" style="45" customWidth="1"/>
    <col min="40" max="40" width="25.28515625" customWidth="1"/>
    <col min="41" max="41" width="11.5703125" customWidth="1"/>
    <col min="42" max="42" width="40.7109375" customWidth="1"/>
    <col min="43" max="43" width="13.42578125" customWidth="1"/>
    <col min="44" max="44" width="12.85546875" customWidth="1"/>
    <col min="45" max="45" width="40.42578125" style="45" customWidth="1"/>
    <col min="46" max="16384" width="11.42578125" style="45"/>
  </cols>
  <sheetData>
    <row r="1" spans="1:46" s="414" customFormat="1" ht="36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3"/>
      <c r="P1" s="412"/>
      <c r="Q1" s="412"/>
      <c r="R1" s="412" t="s">
        <v>138</v>
      </c>
      <c r="S1" s="412"/>
      <c r="T1" s="412"/>
      <c r="U1" s="412"/>
      <c r="V1" s="412"/>
      <c r="X1" s="413"/>
      <c r="Y1" s="413"/>
      <c r="Z1" s="412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/>
      <c r="AO1"/>
      <c r="AP1"/>
      <c r="AQ1"/>
      <c r="AR1"/>
      <c r="AS1" s="415"/>
    </row>
    <row r="2" spans="1:46" ht="24.95" customHeight="1" thickBot="1">
      <c r="A2" s="44"/>
      <c r="B2" s="357" t="s">
        <v>146</v>
      </c>
      <c r="C2" s="44"/>
      <c r="D2" s="43" t="s">
        <v>44</v>
      </c>
      <c r="E2" s="43"/>
      <c r="F2" s="43"/>
      <c r="G2" s="43"/>
      <c r="H2" s="43"/>
      <c r="I2" s="43"/>
      <c r="J2" s="43"/>
      <c r="K2" s="43" t="s">
        <v>22</v>
      </c>
      <c r="L2" s="43"/>
      <c r="M2" s="44"/>
      <c r="N2" s="44"/>
      <c r="O2" s="113"/>
      <c r="P2" s="44"/>
      <c r="Q2" s="44"/>
      <c r="R2" s="44"/>
      <c r="S2" s="44"/>
      <c r="T2" s="44"/>
      <c r="V2" s="44"/>
      <c r="W2" s="113"/>
      <c r="X2" s="44"/>
      <c r="Y2" s="44"/>
      <c r="Z2" s="44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S2" s="161"/>
    </row>
    <row r="3" spans="1:46" ht="24.95" customHeight="1" thickBot="1">
      <c r="A3" s="44"/>
      <c r="B3" s="44"/>
      <c r="C3" s="44"/>
      <c r="D3" s="44"/>
      <c r="E3" s="44"/>
      <c r="F3" s="44"/>
      <c r="G3" s="44"/>
      <c r="H3" s="44"/>
      <c r="I3" s="44"/>
      <c r="J3" s="276"/>
      <c r="K3" s="276"/>
      <c r="L3" s="276"/>
      <c r="M3" s="276"/>
      <c r="N3" s="61"/>
      <c r="O3" s="44"/>
      <c r="P3" s="44"/>
      <c r="Q3" s="44"/>
      <c r="R3" s="44"/>
      <c r="S3" s="44"/>
      <c r="T3" s="276"/>
      <c r="U3" s="276"/>
      <c r="V3" s="276"/>
      <c r="W3" s="276"/>
      <c r="X3" s="276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  <c r="AM3" s="113"/>
    </row>
    <row r="4" spans="1:46" ht="24.95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 s="766" t="s">
        <v>129</v>
      </c>
      <c r="AL4" s="767"/>
      <c r="AM4" s="113"/>
      <c r="AN4" s="161"/>
      <c r="AO4" s="769" t="s">
        <v>113</v>
      </c>
      <c r="AP4" s="770"/>
      <c r="AQ4" s="771"/>
    </row>
    <row r="5" spans="1:46" ht="24.95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405" t="s">
        <v>108</v>
      </c>
      <c r="J5" s="44" t="s">
        <v>107</v>
      </c>
      <c r="K5" s="44"/>
      <c r="L5" s="44"/>
      <c r="M5" s="44" t="s">
        <v>6</v>
      </c>
      <c r="N5" s="405" t="s">
        <v>108</v>
      </c>
      <c r="O5" s="44" t="s">
        <v>107</v>
      </c>
      <c r="P5" s="44"/>
      <c r="Q5" s="44"/>
      <c r="R5" s="44" t="s">
        <v>49</v>
      </c>
      <c r="S5" s="596" t="s">
        <v>108</v>
      </c>
      <c r="T5" s="44" t="s">
        <v>107</v>
      </c>
      <c r="U5" s="44"/>
      <c r="V5" s="44"/>
      <c r="W5" s="46"/>
      <c r="X5" s="46"/>
      <c r="Y5" s="44"/>
      <c r="Z5" s="113"/>
      <c r="AA5" s="113"/>
      <c r="AB5" s="141" t="s">
        <v>111</v>
      </c>
      <c r="AC5" s="459" t="s">
        <v>189</v>
      </c>
      <c r="AD5" s="238" t="s">
        <v>190</v>
      </c>
      <c r="AE5" s="238" t="s">
        <v>191</v>
      </c>
      <c r="AF5" s="141" t="s">
        <v>227</v>
      </c>
      <c r="AG5" s="151" t="s">
        <v>193</v>
      </c>
      <c r="AH5" s="295" t="s">
        <v>109</v>
      </c>
      <c r="AI5" s="305" t="s">
        <v>110</v>
      </c>
      <c r="AJ5" s="433" t="s">
        <v>238</v>
      </c>
      <c r="AK5" s="366" t="s">
        <v>111</v>
      </c>
      <c r="AL5" s="367" t="s">
        <v>192</v>
      </c>
      <c r="AM5" s="113"/>
      <c r="AN5" s="238" t="s">
        <v>12</v>
      </c>
      <c r="AO5" s="501" t="s">
        <v>56</v>
      </c>
      <c r="AP5" s="239" t="s">
        <v>241</v>
      </c>
      <c r="AQ5" s="239" t="s">
        <v>16</v>
      </c>
      <c r="AS5"/>
      <c r="AT5"/>
    </row>
    <row r="6" spans="1:46" ht="24.95" customHeight="1">
      <c r="A6" s="87">
        <v>1</v>
      </c>
      <c r="B6" s="555"/>
      <c r="C6" s="556"/>
      <c r="D6" s="89"/>
      <c r="E6" s="44"/>
      <c r="F6" s="573" t="s">
        <v>2</v>
      </c>
      <c r="G6" s="475">
        <v>1</v>
      </c>
      <c r="H6" s="182" t="str">
        <f t="shared" ref="H6:H24" si="0">IF(ISNA(MATCH(G6,$D$6:$D$25,0)),"",INDEX($B$6:$B$25,MATCH(G6,$D$6:$D$25,0)))</f>
        <v/>
      </c>
      <c r="I6" s="126">
        <f>IF(J6=J7,0,IF(J6&lt;J7,2,4))</f>
        <v>0</v>
      </c>
      <c r="J6" s="576"/>
      <c r="K6" s="44"/>
      <c r="L6" s="570" t="s">
        <v>2</v>
      </c>
      <c r="M6" s="519" t="str">
        <f>IF(J6=J7,"Gagnant du 1",IF(J6&gt;J7,H6,H7))</f>
        <v>Gagnant du 1</v>
      </c>
      <c r="N6" s="441">
        <f>IF(O6=O7,0,IF(O6&lt;O7,0,2))</f>
        <v>0</v>
      </c>
      <c r="O6" s="576"/>
      <c r="P6" s="44"/>
      <c r="Q6" s="570" t="s">
        <v>2</v>
      </c>
      <c r="R6" s="597" t="s">
        <v>105</v>
      </c>
      <c r="S6" s="397"/>
      <c r="T6" s="121"/>
      <c r="U6" s="44"/>
      <c r="V6" s="44"/>
      <c r="W6" s="44"/>
      <c r="X6" s="44"/>
      <c r="Y6" s="44"/>
      <c r="Z6" s="113"/>
      <c r="AA6" s="208">
        <v>1</v>
      </c>
      <c r="AB6" s="462">
        <f>+B6</f>
        <v>0</v>
      </c>
      <c r="AC6" s="460" t="str">
        <f>IF(ISNA(VLOOKUP(AB6,$H$6:$I$25,2,0)),"",VLOOKUP(AB6,$H$6:$I$25,2,0))</f>
        <v/>
      </c>
      <c r="AD6" s="298" t="str">
        <f>IF(ISNA(VLOOKUP(AB6,$M$6:$N$27,2,0)),"",VLOOKUP(AB6,$M$6:$N$27,2,0))</f>
        <v/>
      </c>
      <c r="AE6" s="298" t="str">
        <f>IF(ISNA(VLOOKUP(AB6,$R$6:$S$27,3,0)),"",VLOOKUP(AB6,$R$6:$S$27,2,0))</f>
        <v/>
      </c>
      <c r="AF6" s="300" t="str">
        <f t="shared" ref="AF6:AF25" si="1">IF(ISNA(VLOOKUP(AB6,$W$8:$X$26,2,0)),"",VLOOKUP(AB6,$W$8:$X$26,2,0))</f>
        <v/>
      </c>
      <c r="AG6" s="346">
        <f>SUM(AC6:AF6)</f>
        <v>0</v>
      </c>
      <c r="AH6" s="299">
        <f>IF(OR(AB6="",AG6=""),"",RANK(AG6,$AG$6:$AG$25)+COUNTIF(AB$6:AB$25,"&lt;="&amp;AB6+1)/10000+ROW()/100000)</f>
        <v>1.00196</v>
      </c>
      <c r="AI6" s="649">
        <f>IF(AB6="","",SMALL(AH$6:AH$25,ROWS(AL$6:AL6)))</f>
        <v>1.0002500000000001</v>
      </c>
      <c r="AJ6" s="651">
        <f>IF(AI6="","",1)</f>
        <v>1</v>
      </c>
      <c r="AK6" s="472" t="str">
        <f>IF(OR(AB6="",AG6=""),"",INDEX($AB$6:$AB$25,MATCH(AI6,$AH$6:$AH$25,0)))</f>
        <v>OFFICE</v>
      </c>
      <c r="AL6" s="467">
        <f>IF(AB6="","",INDEX($AG$6:$AG$25,MATCH(AI6,$AH$6:$AH$25,0)))</f>
        <v>0</v>
      </c>
      <c r="AM6" s="113"/>
      <c r="AN6" s="570" t="s">
        <v>115</v>
      </c>
      <c r="AO6" s="240">
        <v>2</v>
      </c>
      <c r="AP6" s="241" t="s">
        <v>242</v>
      </c>
      <c r="AQ6" s="581" t="s">
        <v>323</v>
      </c>
      <c r="AS6"/>
      <c r="AT6"/>
    </row>
    <row r="7" spans="1:46" ht="24.95" customHeight="1" thickBot="1">
      <c r="A7" s="94">
        <v>2</v>
      </c>
      <c r="B7" s="557"/>
      <c r="C7" s="558"/>
      <c r="D7" s="96"/>
      <c r="E7" s="44"/>
      <c r="F7" s="574">
        <v>1</v>
      </c>
      <c r="G7" s="476">
        <v>2</v>
      </c>
      <c r="H7" s="198" t="str">
        <f t="shared" si="0"/>
        <v/>
      </c>
      <c r="I7" s="130">
        <f>IF(J6=J7,0,IF(J6&gt;J7,2,4))</f>
        <v>0</v>
      </c>
      <c r="J7" s="577"/>
      <c r="K7" s="44"/>
      <c r="L7" s="571">
        <v>3</v>
      </c>
      <c r="M7" s="520" t="str">
        <f>IF(J8=J9,"Gagnant du 2",IF(J8&gt;J9,H8,H9))</f>
        <v>Gagnant du 2</v>
      </c>
      <c r="N7" s="130">
        <f>IF(O6=O7,0,IF(O6&gt;O7,0,2))</f>
        <v>0</v>
      </c>
      <c r="O7" s="577"/>
      <c r="P7" s="44"/>
      <c r="Q7" s="282"/>
      <c r="R7" s="534" t="str">
        <f>IF(O6=O7,"Gagnant du 3",IF(O6&gt;O7,M6,M7))</f>
        <v>Gagnant du 3</v>
      </c>
      <c r="S7" s="398">
        <v>1</v>
      </c>
      <c r="T7" s="122">
        <v>1</v>
      </c>
      <c r="U7" s="44"/>
      <c r="V7" s="44"/>
      <c r="W7" s="384" t="s">
        <v>9</v>
      </c>
      <c r="X7" s="405" t="s">
        <v>108</v>
      </c>
      <c r="Y7" s="44" t="s">
        <v>107</v>
      </c>
      <c r="Z7" s="61"/>
      <c r="AA7" s="209">
        <v>2</v>
      </c>
      <c r="AB7" s="440">
        <f>+B7</f>
        <v>0</v>
      </c>
      <c r="AC7" s="155" t="str">
        <f t="shared" ref="AC7:AC25" si="2">IF(ISNA(VLOOKUP(AB7,$H$6:$I$25,2,0)),"",VLOOKUP(AB7,$H$6:$I$25,2,0))</f>
        <v/>
      </c>
      <c r="AD7" s="210" t="str">
        <f t="shared" ref="AD7:AD25" si="3">IF(ISNA(VLOOKUP(AB7,$M$6:$N$27,2,0)),"",VLOOKUP(AB7,$M$6:$N$27,2,0))</f>
        <v/>
      </c>
      <c r="AE7" s="210" t="str">
        <f t="shared" ref="AE7:AE25" si="4">IF(ISNA(VLOOKUP(AB7,$R$6:$S$27,3,0)),"",VLOOKUP(AB7,$R$6:$S$27,2,0))</f>
        <v/>
      </c>
      <c r="AF7" s="350" t="str">
        <f t="shared" si="1"/>
        <v/>
      </c>
      <c r="AG7" s="347">
        <f t="shared" ref="AG7:AG25" si="5">SUM(AC7:AF7)</f>
        <v>0</v>
      </c>
      <c r="AH7" s="299">
        <f t="shared" ref="AH7:AH25" si="6">IF(OR(AB7="",AG7=""),"",RANK(AG7,$AG$6:$AG$25)+COUNTIF(AB$6:AB$25,"&lt;="&amp;AB7+1)/10000+ROW()/100000)</f>
        <v>1.00197</v>
      </c>
      <c r="AI7" s="649">
        <f>IF(AB7="","",SMALL(AH$6:AH$25,ROWS(AL$6:AL7)))</f>
        <v>1.00196</v>
      </c>
      <c r="AJ7" s="652">
        <f>IF(AI7="","",IF(AND(AL6=AL7),$AJ6,$AJ$6+1))</f>
        <v>1</v>
      </c>
      <c r="AK7" s="465">
        <f t="shared" ref="AK7:AK25" si="7">IF(OR(AB7="",AG7=""),"",INDEX($AB$6:$AB$25,MATCH(AI7,$AH$6:$AH$25,0)))</f>
        <v>0</v>
      </c>
      <c r="AL7" s="468">
        <f t="shared" ref="AL7:AL25" si="8">IF(AB7="","",INDEX($AG$6:$AG$25,MATCH(AI7,$AH$6:$AH$25,0)))</f>
        <v>0</v>
      </c>
      <c r="AM7" s="113"/>
      <c r="AN7" s="580" t="s">
        <v>15</v>
      </c>
      <c r="AO7" s="242">
        <v>2</v>
      </c>
      <c r="AP7" s="243" t="s">
        <v>243</v>
      </c>
      <c r="AQ7" s="582" t="s">
        <v>311</v>
      </c>
      <c r="AS7"/>
      <c r="AT7"/>
    </row>
    <row r="8" spans="1:46" ht="24.95" customHeight="1">
      <c r="A8" s="94">
        <v>3</v>
      </c>
      <c r="B8" s="559"/>
      <c r="C8" s="560"/>
      <c r="D8" s="96"/>
      <c r="E8" s="44"/>
      <c r="F8" s="573" t="s">
        <v>2</v>
      </c>
      <c r="G8" s="475">
        <v>3</v>
      </c>
      <c r="H8" s="202" t="str">
        <f t="shared" si="0"/>
        <v/>
      </c>
      <c r="I8" s="126">
        <f>IF(J8=J9,0,IF(J8&lt;J9,2,4))</f>
        <v>0</v>
      </c>
      <c r="J8" s="578"/>
      <c r="K8" s="276"/>
      <c r="L8" s="570" t="s">
        <v>2</v>
      </c>
      <c r="M8" s="521" t="str">
        <f>IF(J10=J11,"Gagnant du 3",IF(J10&gt;J11,H10,H11))</f>
        <v>Gagnant du 3</v>
      </c>
      <c r="N8" s="172">
        <f>IF(O8=O9,0,IF(O8&lt;O9,0,2))</f>
        <v>0</v>
      </c>
      <c r="O8" s="576"/>
      <c r="P8" s="276"/>
      <c r="Q8" s="575" t="s">
        <v>2</v>
      </c>
      <c r="R8" s="529" t="str">
        <f>IF(O8=O9,"Gagnant du 5",IF(O8&gt;O9,M8,M9))</f>
        <v>Gagnant du 5</v>
      </c>
      <c r="S8" s="441">
        <f>IF(T8=T9,0,IF(T8&lt;T9,0,2))</f>
        <v>0</v>
      </c>
      <c r="T8" s="578"/>
      <c r="U8" s="276"/>
      <c r="V8" s="570" t="s">
        <v>2</v>
      </c>
      <c r="W8" s="519" t="str">
        <f>IF(T8=T9,"Gagnant du 2",IF(T8&gt;T9,R8,R9))</f>
        <v>Gagnant du 2</v>
      </c>
      <c r="X8" s="441">
        <f>IF(Y8=Y9,0,IF(Y8&lt;Y9,0,2))</f>
        <v>0</v>
      </c>
      <c r="Y8" s="576"/>
      <c r="Z8" s="61"/>
      <c r="AA8" s="209">
        <v>3</v>
      </c>
      <c r="AB8" s="440">
        <f t="shared" ref="AB8:AB25" si="9">+B8</f>
        <v>0</v>
      </c>
      <c r="AC8" s="155" t="str">
        <f t="shared" si="2"/>
        <v/>
      </c>
      <c r="AD8" s="210" t="str">
        <f t="shared" si="3"/>
        <v/>
      </c>
      <c r="AE8" s="210" t="str">
        <f t="shared" si="4"/>
        <v/>
      </c>
      <c r="AF8" s="350" t="str">
        <f t="shared" si="1"/>
        <v/>
      </c>
      <c r="AG8" s="347">
        <f t="shared" si="5"/>
        <v>0</v>
      </c>
      <c r="AH8" s="299">
        <f t="shared" si="6"/>
        <v>1.0019800000000001</v>
      </c>
      <c r="AI8" s="649">
        <f>IF(AB8="","",SMALL(AH$6:AH$25,ROWS(AL$6:AL8)))</f>
        <v>1.00197</v>
      </c>
      <c r="AJ8" s="652">
        <f>IF(AI8="","",IF(AND(AL7=AL8),$AJ7,$AJ$6+2))</f>
        <v>1</v>
      </c>
      <c r="AK8" s="465">
        <f t="shared" si="7"/>
        <v>0</v>
      </c>
      <c r="AL8" s="468">
        <f t="shared" si="8"/>
        <v>0</v>
      </c>
      <c r="AM8" s="61"/>
      <c r="AN8" s="580" t="s">
        <v>332</v>
      </c>
      <c r="AO8" s="242">
        <v>2</v>
      </c>
      <c r="AP8" s="675" t="s">
        <v>258</v>
      </c>
      <c r="AQ8" s="582">
        <v>7</v>
      </c>
      <c r="AS8"/>
      <c r="AT8"/>
    </row>
    <row r="9" spans="1:46" ht="24.95" customHeight="1" thickBot="1">
      <c r="A9" s="94">
        <v>4</v>
      </c>
      <c r="B9" s="557"/>
      <c r="C9" s="558"/>
      <c r="D9" s="96"/>
      <c r="E9" s="44"/>
      <c r="F9" s="574">
        <v>2</v>
      </c>
      <c r="G9" s="476">
        <v>4</v>
      </c>
      <c r="H9" s="203" t="str">
        <f t="shared" si="0"/>
        <v/>
      </c>
      <c r="I9" s="130">
        <f>IF(J8=J9,0,IF(J8&gt;J9,2,4))</f>
        <v>0</v>
      </c>
      <c r="J9" s="579"/>
      <c r="K9" s="44"/>
      <c r="L9" s="571">
        <v>5</v>
      </c>
      <c r="M9" s="520" t="str">
        <f>IF(J12=J13,"Gagnant du 4",IF(J12&gt;J13,H12,H13))</f>
        <v>Gagnant du 4</v>
      </c>
      <c r="N9" s="130">
        <f>IF(O8=O9,0,IF(O8&gt;O9,0,2))</f>
        <v>0</v>
      </c>
      <c r="O9" s="577"/>
      <c r="P9" s="44"/>
      <c r="Q9" s="572">
        <v>2</v>
      </c>
      <c r="R9" s="530" t="str">
        <f>IF(O10=O11,"Gagnant du 7",IF(O10&gt;O11,M10,M11))</f>
        <v>Gagnant du 7</v>
      </c>
      <c r="S9" s="130">
        <f>IF(T8=T9,0,IF(T8&gt;T9,0,2))</f>
        <v>0</v>
      </c>
      <c r="T9" s="579"/>
      <c r="U9" s="44"/>
      <c r="V9" s="571">
        <v>1</v>
      </c>
      <c r="W9" s="520" t="str">
        <f>IF(T10=T11,"Gagnant du 4",IF(T10&gt;T11,R10,R11))</f>
        <v>Gagnant du 4</v>
      </c>
      <c r="X9" s="130">
        <f>IF(Y8=Y9,0,IF(Y8&gt;Y9,0,2))</f>
        <v>0</v>
      </c>
      <c r="Y9" s="577"/>
      <c r="Z9" s="113"/>
      <c r="AA9" s="209">
        <v>4</v>
      </c>
      <c r="AB9" s="440">
        <f t="shared" si="9"/>
        <v>0</v>
      </c>
      <c r="AC9" s="155" t="str">
        <f t="shared" si="2"/>
        <v/>
      </c>
      <c r="AD9" s="210" t="str">
        <f t="shared" si="3"/>
        <v/>
      </c>
      <c r="AE9" s="210" t="str">
        <f t="shared" si="4"/>
        <v/>
      </c>
      <c r="AF9" s="350" t="str">
        <f t="shared" si="1"/>
        <v/>
      </c>
      <c r="AG9" s="347">
        <f t="shared" si="5"/>
        <v>0</v>
      </c>
      <c r="AH9" s="299">
        <f t="shared" si="6"/>
        <v>1.0019899999999999</v>
      </c>
      <c r="AI9" s="649">
        <f>IF(AB9="","",SMALL(AH$6:AH$25,ROWS(AL$6:AL9)))</f>
        <v>1.0019800000000001</v>
      </c>
      <c r="AJ9" s="652">
        <f>IF(AI9="","",IF(AND(AL8=AL9),$AJ8,$AJ$6+3))</f>
        <v>1</v>
      </c>
      <c r="AK9" s="465">
        <f t="shared" si="7"/>
        <v>0</v>
      </c>
      <c r="AL9" s="468">
        <f t="shared" si="8"/>
        <v>0</v>
      </c>
      <c r="AM9" s="61"/>
      <c r="AN9" s="580" t="s">
        <v>114</v>
      </c>
      <c r="AO9" s="242">
        <v>2</v>
      </c>
      <c r="AP9" s="243" t="s">
        <v>263</v>
      </c>
      <c r="AQ9" s="582" t="s">
        <v>316</v>
      </c>
      <c r="AS9"/>
      <c r="AT9"/>
    </row>
    <row r="10" spans="1:46" ht="24.95" customHeight="1" thickBot="1">
      <c r="A10" s="94">
        <v>5</v>
      </c>
      <c r="B10" s="559"/>
      <c r="C10" s="560"/>
      <c r="D10" s="96"/>
      <c r="E10" s="44"/>
      <c r="F10" s="573" t="s">
        <v>2</v>
      </c>
      <c r="G10" s="475">
        <v>5</v>
      </c>
      <c r="H10" s="182" t="str">
        <f t="shared" si="0"/>
        <v/>
      </c>
      <c r="I10" s="126">
        <f>IF(J10=J11,0,IF(J10&lt;J11,2,4))</f>
        <v>0</v>
      </c>
      <c r="J10" s="576"/>
      <c r="K10" s="44"/>
      <c r="L10" s="570" t="s">
        <v>2</v>
      </c>
      <c r="M10" s="521" t="str">
        <f>IF(J14=J15,"Gagnant du 5",IF(J14&gt;J15,H14,H15))</f>
        <v>Gagnant du 5</v>
      </c>
      <c r="N10" s="441">
        <f>IF(O10=O11,0,IF(O10&lt;O11,0,2))</f>
        <v>0</v>
      </c>
      <c r="O10" s="576"/>
      <c r="P10" s="44"/>
      <c r="Q10" s="570" t="s">
        <v>2</v>
      </c>
      <c r="R10" s="528" t="str">
        <f>IF(O12=O13,"Gagnant du 1",IF(O12&gt;O13,M12,M13))</f>
        <v>Gagnant du 1</v>
      </c>
      <c r="S10" s="172">
        <f>IF(T10=T11,0,IF(T10&lt;T11,0,2))</f>
        <v>0</v>
      </c>
      <c r="T10" s="576"/>
      <c r="U10" s="44"/>
      <c r="V10" s="44"/>
      <c r="W10" s="131"/>
      <c r="X10" s="131"/>
      <c r="Y10" s="44"/>
      <c r="Z10" s="113"/>
      <c r="AA10" s="209">
        <v>5</v>
      </c>
      <c r="AB10" s="440">
        <f t="shared" si="9"/>
        <v>0</v>
      </c>
      <c r="AC10" s="155" t="str">
        <f t="shared" si="2"/>
        <v/>
      </c>
      <c r="AD10" s="210" t="str">
        <f t="shared" si="3"/>
        <v/>
      </c>
      <c r="AE10" s="210" t="str">
        <f t="shared" si="4"/>
        <v/>
      </c>
      <c r="AF10" s="350" t="str">
        <f t="shared" si="1"/>
        <v/>
      </c>
      <c r="AG10" s="347">
        <f t="shared" si="5"/>
        <v>0</v>
      </c>
      <c r="AH10" s="299">
        <f t="shared" si="6"/>
        <v>1.002</v>
      </c>
      <c r="AI10" s="649">
        <f>IF(AB10="","",SMALL(AH$6:AH$25,ROWS(AL$6:AL10)))</f>
        <v>1.0019899999999999</v>
      </c>
      <c r="AJ10" s="652">
        <f>IF(AI10="","",IF(AND(AL9=AL10),$AJ9,$AJ$6+4))</f>
        <v>1</v>
      </c>
      <c r="AK10" s="465">
        <f t="shared" si="7"/>
        <v>0</v>
      </c>
      <c r="AL10" s="468">
        <f t="shared" si="8"/>
        <v>0</v>
      </c>
      <c r="AM10" s="113"/>
      <c r="AN10" s="580" t="s">
        <v>114</v>
      </c>
      <c r="AO10" s="250">
        <v>2</v>
      </c>
      <c r="AP10" s="247" t="s">
        <v>263</v>
      </c>
      <c r="AQ10" s="583" t="s">
        <v>316</v>
      </c>
      <c r="AS10"/>
      <c r="AT10"/>
    </row>
    <row r="11" spans="1:46" ht="24.95" customHeight="1" thickBot="1">
      <c r="A11" s="94">
        <v>6</v>
      </c>
      <c r="B11" s="557"/>
      <c r="C11" s="558"/>
      <c r="D11" s="96"/>
      <c r="E11" s="44"/>
      <c r="F11" s="574">
        <v>3</v>
      </c>
      <c r="G11" s="476">
        <v>6</v>
      </c>
      <c r="H11" s="198" t="str">
        <f t="shared" si="0"/>
        <v/>
      </c>
      <c r="I11" s="130">
        <f>IF(J10=J11,0,IF(J10&gt;J11,2,4))</f>
        <v>0</v>
      </c>
      <c r="J11" s="577"/>
      <c r="K11" s="276"/>
      <c r="L11" s="571">
        <v>7</v>
      </c>
      <c r="M11" s="520" t="str">
        <f>IF(J16=J17,"Gagnant du 6",IF(J16&gt;J17,H16,H17))</f>
        <v>Gagnant du 6</v>
      </c>
      <c r="N11" s="130">
        <f>IF(O10=O11,0,IF(O10&gt;O11,0,2))</f>
        <v>0</v>
      </c>
      <c r="O11" s="577"/>
      <c r="P11" s="276"/>
      <c r="Q11" s="571">
        <v>4</v>
      </c>
      <c r="R11" s="520" t="str">
        <f>IF(O14=O15,"Gagnant du 9",IF(O14&gt;O15,M14,M15))</f>
        <v>Gagnant du 9</v>
      </c>
      <c r="S11" s="130">
        <f>IF(T10=T11,0,IF(T10&gt;T11,0,2))</f>
        <v>0</v>
      </c>
      <c r="T11" s="577"/>
      <c r="U11" s="276"/>
      <c r="V11" s="44"/>
      <c r="W11" s="131"/>
      <c r="X11" s="131"/>
      <c r="Y11" s="44"/>
      <c r="Z11" s="61"/>
      <c r="AA11" s="209">
        <v>6</v>
      </c>
      <c r="AB11" s="440">
        <f t="shared" si="9"/>
        <v>0</v>
      </c>
      <c r="AC11" s="155" t="str">
        <f t="shared" si="2"/>
        <v/>
      </c>
      <c r="AD11" s="210" t="str">
        <f t="shared" si="3"/>
        <v/>
      </c>
      <c r="AE11" s="210" t="str">
        <f t="shared" si="4"/>
        <v/>
      </c>
      <c r="AF11" s="350" t="str">
        <f t="shared" si="1"/>
        <v/>
      </c>
      <c r="AG11" s="347">
        <f t="shared" si="5"/>
        <v>0</v>
      </c>
      <c r="AH11" s="299">
        <f t="shared" si="6"/>
        <v>1.0020100000000001</v>
      </c>
      <c r="AI11" s="649">
        <f>IF(AB11="","",SMALL(AH$6:AH$25,ROWS(AL$6:AL11)))</f>
        <v>1.002</v>
      </c>
      <c r="AJ11" s="652">
        <f>IF(AI11="","",IF(AND(AL10=AL11),$AJ10,$AJ$6+5))</f>
        <v>1</v>
      </c>
      <c r="AK11" s="465">
        <f t="shared" si="7"/>
        <v>0</v>
      </c>
      <c r="AL11" s="468">
        <f t="shared" si="8"/>
        <v>0</v>
      </c>
      <c r="AM11" s="113"/>
      <c r="AN11" s="483" t="s">
        <v>118</v>
      </c>
      <c r="AO11" s="240">
        <v>2</v>
      </c>
      <c r="AP11" s="245" t="s">
        <v>247</v>
      </c>
      <c r="AQ11" s="543" t="s">
        <v>316</v>
      </c>
      <c r="AS11"/>
      <c r="AT11"/>
    </row>
    <row r="12" spans="1:46" ht="24.95" customHeight="1">
      <c r="A12" s="94">
        <v>7</v>
      </c>
      <c r="B12" s="559"/>
      <c r="C12" s="560"/>
      <c r="D12" s="96"/>
      <c r="E12" s="44"/>
      <c r="F12" s="573" t="s">
        <v>2</v>
      </c>
      <c r="G12" s="475">
        <v>7</v>
      </c>
      <c r="H12" s="202" t="str">
        <f t="shared" si="0"/>
        <v/>
      </c>
      <c r="I12" s="126">
        <f>IF(J12=J13,0,IF(J12&lt;J13,2,4))</f>
        <v>0</v>
      </c>
      <c r="J12" s="578"/>
      <c r="K12" s="44"/>
      <c r="L12" s="570" t="s">
        <v>2</v>
      </c>
      <c r="M12" s="521" t="str">
        <f>IF(J18=J19,"Gagnant du 7",IF(J18&gt;J19,H18,H19))</f>
        <v>Gagnant du 7</v>
      </c>
      <c r="N12" s="172">
        <f>IF(O12=O13,0,IF(O12&lt;O13,0,2))</f>
        <v>0</v>
      </c>
      <c r="O12" s="576"/>
      <c r="P12" s="44"/>
      <c r="Q12" s="44"/>
      <c r="R12" s="533"/>
      <c r="S12" s="131"/>
      <c r="T12" s="44"/>
      <c r="U12" s="44"/>
      <c r="W12" s="533"/>
      <c r="X12" s="143"/>
      <c r="Z12" s="113"/>
      <c r="AA12" s="209">
        <v>7</v>
      </c>
      <c r="AB12" s="440">
        <f t="shared" si="9"/>
        <v>0</v>
      </c>
      <c r="AC12" s="155" t="str">
        <f t="shared" si="2"/>
        <v/>
      </c>
      <c r="AD12" s="210" t="str">
        <f t="shared" si="3"/>
        <v/>
      </c>
      <c r="AE12" s="210" t="str">
        <f t="shared" si="4"/>
        <v/>
      </c>
      <c r="AF12" s="350" t="str">
        <f t="shared" si="1"/>
        <v/>
      </c>
      <c r="AG12" s="347">
        <f t="shared" si="5"/>
        <v>0</v>
      </c>
      <c r="AH12" s="299">
        <f t="shared" si="6"/>
        <v>1.0020199999999999</v>
      </c>
      <c r="AI12" s="649">
        <f>IF(AB12="","",SMALL(AH$6:AH$25,ROWS(AL$6:AL12)))</f>
        <v>1.0020100000000001</v>
      </c>
      <c r="AJ12" s="652">
        <f>IF(AI12="","",IF(AND(AL11=AL12),$AJ11,$AJ$6+6))</f>
        <v>1</v>
      </c>
      <c r="AK12" s="465">
        <f t="shared" si="7"/>
        <v>0</v>
      </c>
      <c r="AL12" s="468">
        <f t="shared" si="8"/>
        <v>0</v>
      </c>
      <c r="AM12" s="61"/>
      <c r="AN12" s="487" t="s">
        <v>20</v>
      </c>
      <c r="AO12" s="242">
        <v>2</v>
      </c>
      <c r="AP12" s="243" t="s">
        <v>248</v>
      </c>
      <c r="AQ12" s="544" t="s">
        <v>321</v>
      </c>
      <c r="AS12"/>
      <c r="AT12"/>
    </row>
    <row r="13" spans="1:46" ht="24.95" customHeight="1" thickBot="1">
      <c r="A13" s="94">
        <v>8</v>
      </c>
      <c r="B13" s="557"/>
      <c r="C13" s="558"/>
      <c r="D13" s="96"/>
      <c r="E13" s="44"/>
      <c r="F13" s="574">
        <v>4</v>
      </c>
      <c r="G13" s="476">
        <v>8</v>
      </c>
      <c r="H13" s="203" t="str">
        <f t="shared" si="0"/>
        <v/>
      </c>
      <c r="I13" s="130">
        <f>IF(J12=J13,0,IF(J12&gt;J13,2,4))</f>
        <v>0</v>
      </c>
      <c r="J13" s="579"/>
      <c r="K13" s="44"/>
      <c r="L13" s="572">
        <v>1</v>
      </c>
      <c r="M13" s="530" t="str">
        <f>IF(J20=J21,"Gagnant du 8",IF(J20&gt;J21,H20,H21))</f>
        <v>Gagnant du 8</v>
      </c>
      <c r="N13" s="130">
        <f>IF(O12=O13,0,IF(O12&gt;O13,0,2))</f>
        <v>0</v>
      </c>
      <c r="O13" s="579"/>
      <c r="P13" s="44"/>
      <c r="Q13" s="44"/>
      <c r="R13" s="147" t="s">
        <v>51</v>
      </c>
      <c r="S13" s="131"/>
      <c r="T13" s="44"/>
      <c r="U13" s="44"/>
      <c r="W13" s="533"/>
      <c r="X13" s="143"/>
      <c r="Z13" s="61"/>
      <c r="AA13" s="209">
        <v>8</v>
      </c>
      <c r="AB13" s="440">
        <f t="shared" si="9"/>
        <v>0</v>
      </c>
      <c r="AC13" s="155" t="str">
        <f t="shared" si="2"/>
        <v/>
      </c>
      <c r="AD13" s="210" t="str">
        <f t="shared" si="3"/>
        <v/>
      </c>
      <c r="AE13" s="210" t="str">
        <f t="shared" si="4"/>
        <v/>
      </c>
      <c r="AF13" s="350" t="str">
        <f t="shared" si="1"/>
        <v/>
      </c>
      <c r="AG13" s="347">
        <f t="shared" si="5"/>
        <v>0</v>
      </c>
      <c r="AH13" s="299">
        <f t="shared" si="6"/>
        <v>1.00203</v>
      </c>
      <c r="AI13" s="649">
        <f>IF(AB13="","",SMALL(AH$6:AH$25,ROWS(AL$6:AL13)))</f>
        <v>1.0020199999999999</v>
      </c>
      <c r="AJ13" s="652">
        <f>IF(AI13="","",IF(AND(AL12=AL13),$AJ12,$AJ$6+7))</f>
        <v>1</v>
      </c>
      <c r="AK13" s="465">
        <f t="shared" si="7"/>
        <v>0</v>
      </c>
      <c r="AL13" s="468">
        <f t="shared" si="8"/>
        <v>0</v>
      </c>
      <c r="AM13" s="61"/>
      <c r="AN13" s="487" t="s">
        <v>335</v>
      </c>
      <c r="AO13" s="242">
        <v>2</v>
      </c>
      <c r="AP13" s="675" t="s">
        <v>274</v>
      </c>
      <c r="AQ13" s="544">
        <v>4.5</v>
      </c>
      <c r="AS13"/>
      <c r="AT13"/>
    </row>
    <row r="14" spans="1:46" ht="24.95" customHeight="1">
      <c r="A14" s="94">
        <v>9</v>
      </c>
      <c r="B14" s="559"/>
      <c r="C14" s="560"/>
      <c r="D14" s="96"/>
      <c r="E14" s="44"/>
      <c r="F14" s="573" t="s">
        <v>2</v>
      </c>
      <c r="G14" s="475">
        <v>9</v>
      </c>
      <c r="H14" s="182" t="str">
        <f t="shared" si="0"/>
        <v/>
      </c>
      <c r="I14" s="126">
        <f>IF(J14=J15,0,IF(J14&lt;J15,2,4))</f>
        <v>0</v>
      </c>
      <c r="J14" s="576"/>
      <c r="K14" s="44"/>
      <c r="L14" s="570" t="s">
        <v>2</v>
      </c>
      <c r="M14" s="528" t="str">
        <f>IF(J22=J23,"Gagnant du 9",IF(J22&gt;J23,H22,H23))</f>
        <v>Gagnant du 9</v>
      </c>
      <c r="N14" s="172">
        <f>IF(O14=O15,0,IF(O14&lt;O15,0,2))</f>
        <v>0</v>
      </c>
      <c r="O14" s="576"/>
      <c r="P14" s="44"/>
      <c r="Q14" s="522" t="s">
        <v>2</v>
      </c>
      <c r="R14" s="528" t="str">
        <f>IF(O20=O21,"Gagnant du 2",IF(O20&gt;O21,M20,M21))</f>
        <v>Gagnant du 2</v>
      </c>
      <c r="S14" s="177">
        <f>IF(T14=T15,0,IF(T14&lt;T15,0,1))</f>
        <v>0</v>
      </c>
      <c r="T14" s="631"/>
      <c r="U14" s="44"/>
      <c r="W14" s="533"/>
      <c r="X14" s="143"/>
      <c r="Z14" s="61"/>
      <c r="AA14" s="209">
        <v>9</v>
      </c>
      <c r="AB14" s="440">
        <f t="shared" si="9"/>
        <v>0</v>
      </c>
      <c r="AC14" s="155" t="str">
        <f t="shared" si="2"/>
        <v/>
      </c>
      <c r="AD14" s="210" t="str">
        <f t="shared" si="3"/>
        <v/>
      </c>
      <c r="AE14" s="210" t="str">
        <f t="shared" si="4"/>
        <v/>
      </c>
      <c r="AF14" s="350" t="str">
        <f t="shared" si="1"/>
        <v/>
      </c>
      <c r="AG14" s="347">
        <f t="shared" si="5"/>
        <v>0</v>
      </c>
      <c r="AH14" s="299">
        <f t="shared" si="6"/>
        <v>1.00204</v>
      </c>
      <c r="AI14" s="649">
        <f>IF(AB14="","",SMALL(AH$6:AH$25,ROWS(AL$6:AL14)))</f>
        <v>1.00203</v>
      </c>
      <c r="AJ14" s="652">
        <f>IF(AI14="","",IF(AND(AL13=AL14),$AJ13,$AJ$6+8))</f>
        <v>1</v>
      </c>
      <c r="AK14" s="465">
        <f t="shared" si="7"/>
        <v>0</v>
      </c>
      <c r="AL14" s="468">
        <f t="shared" si="8"/>
        <v>0</v>
      </c>
      <c r="AM14" s="113"/>
      <c r="AN14" s="487" t="s">
        <v>65</v>
      </c>
      <c r="AO14" s="242">
        <v>2</v>
      </c>
      <c r="AP14" s="243" t="s">
        <v>245</v>
      </c>
      <c r="AQ14" s="544" t="s">
        <v>317</v>
      </c>
      <c r="AS14"/>
      <c r="AT14"/>
    </row>
    <row r="15" spans="1:46" ht="24.95" customHeight="1" thickBot="1">
      <c r="A15" s="94">
        <v>10</v>
      </c>
      <c r="B15" s="557"/>
      <c r="C15" s="558"/>
      <c r="D15" s="96"/>
      <c r="E15" s="44"/>
      <c r="F15" s="574">
        <v>5</v>
      </c>
      <c r="G15" s="476">
        <v>10</v>
      </c>
      <c r="H15" s="198" t="str">
        <f t="shared" si="0"/>
        <v/>
      </c>
      <c r="I15" s="130">
        <f>IF(J14=J15,0,IF(J14&gt;J15,2,4))</f>
        <v>0</v>
      </c>
      <c r="J15" s="577"/>
      <c r="K15" s="44"/>
      <c r="L15" s="571">
        <v>9</v>
      </c>
      <c r="M15" s="520" t="str">
        <f>IF(J24=J25,"Gagnant du 10",IF(J24&gt;J25,H24,H25))</f>
        <v/>
      </c>
      <c r="N15" s="130">
        <f>IF(O14=O15,0,IF(O14&gt;O15,0,2))</f>
        <v>0</v>
      </c>
      <c r="O15" s="577"/>
      <c r="P15" s="44"/>
      <c r="Q15" s="524">
        <v>5</v>
      </c>
      <c r="R15" s="531" t="str">
        <f>IF(O26=O27,"Gagnant du 10",IF(O26&gt;O27,M26,M27))</f>
        <v>Perdant du 9</v>
      </c>
      <c r="S15" s="178">
        <f>IF(T14=T15,0,IF(T14&gt;T15,0,1))</f>
        <v>0</v>
      </c>
      <c r="T15" s="632"/>
      <c r="U15" s="44"/>
      <c r="V15" s="44"/>
      <c r="W15" s="167" t="s">
        <v>10</v>
      </c>
      <c r="X15" s="167"/>
      <c r="Y15" s="44"/>
      <c r="Z15" s="113"/>
      <c r="AA15" s="209">
        <v>10</v>
      </c>
      <c r="AB15" s="440">
        <f t="shared" si="9"/>
        <v>0</v>
      </c>
      <c r="AC15" s="155" t="str">
        <f t="shared" si="2"/>
        <v/>
      </c>
      <c r="AD15" s="210" t="str">
        <f t="shared" si="3"/>
        <v/>
      </c>
      <c r="AE15" s="210" t="str">
        <f t="shared" si="4"/>
        <v/>
      </c>
      <c r="AF15" s="350" t="str">
        <f t="shared" si="1"/>
        <v/>
      </c>
      <c r="AG15" s="347">
        <f t="shared" si="5"/>
        <v>0</v>
      </c>
      <c r="AH15" s="299">
        <f t="shared" si="6"/>
        <v>1.0020500000000001</v>
      </c>
      <c r="AI15" s="649">
        <f>IF(AB15="","",SMALL(AH$6:AH$25,ROWS(AL$6:AL15)))</f>
        <v>1.00204</v>
      </c>
      <c r="AJ15" s="652">
        <f>IF(AI15="","",IF(AND(AL14=AL15),$AJ14,$AJ$6+9))</f>
        <v>1</v>
      </c>
      <c r="AK15" s="465">
        <f t="shared" si="7"/>
        <v>0</v>
      </c>
      <c r="AL15" s="468">
        <f t="shared" si="8"/>
        <v>0</v>
      </c>
      <c r="AM15" s="113"/>
      <c r="AN15" s="488" t="s">
        <v>65</v>
      </c>
      <c r="AO15" s="262">
        <v>2</v>
      </c>
      <c r="AP15" s="138" t="s">
        <v>276</v>
      </c>
      <c r="AQ15" s="544" t="s">
        <v>317</v>
      </c>
      <c r="AS15"/>
      <c r="AT15"/>
    </row>
    <row r="16" spans="1:46" ht="24.95" customHeight="1">
      <c r="A16" s="94">
        <v>11</v>
      </c>
      <c r="B16" s="559"/>
      <c r="C16" s="560"/>
      <c r="D16" s="96"/>
      <c r="E16" s="44"/>
      <c r="F16" s="573" t="s">
        <v>2</v>
      </c>
      <c r="G16" s="475">
        <v>11</v>
      </c>
      <c r="H16" s="202" t="str">
        <f t="shared" si="0"/>
        <v/>
      </c>
      <c r="I16" s="126">
        <f>IF(J16=J17,0,IF(J16&lt;J17,2,4))</f>
        <v>0</v>
      </c>
      <c r="J16" s="578"/>
      <c r="K16" s="44"/>
      <c r="M16" s="533"/>
      <c r="N16" s="143"/>
      <c r="P16" s="44"/>
      <c r="Q16" s="536" t="s">
        <v>2</v>
      </c>
      <c r="R16" s="521" t="str">
        <f>IF(O22=O23,"Gagnant du 4",IF(O22&gt;O23,M22,M23))</f>
        <v>Gagnant du 4</v>
      </c>
      <c r="S16" s="172">
        <f>IF(T16=T17,0,IF(T16&lt;T17,0,1))</f>
        <v>0</v>
      </c>
      <c r="T16" s="635"/>
      <c r="U16" s="44"/>
      <c r="V16" s="522" t="s">
        <v>2</v>
      </c>
      <c r="W16" s="528" t="str">
        <f>IF(T16=T17,"Gagnant du 1",IF(T16&gt;T17,R16,R17))</f>
        <v>Gagnant du 1</v>
      </c>
      <c r="X16" s="172">
        <f>IF(Y16=Y17,0,IF(Y16&lt;Y17,0,1))</f>
        <v>0</v>
      </c>
      <c r="Y16" s="631"/>
      <c r="Z16" s="113"/>
      <c r="AA16" s="209">
        <v>11</v>
      </c>
      <c r="AB16" s="440">
        <f t="shared" si="9"/>
        <v>0</v>
      </c>
      <c r="AC16" s="155" t="str">
        <f t="shared" si="2"/>
        <v/>
      </c>
      <c r="AD16" s="210" t="str">
        <f t="shared" si="3"/>
        <v/>
      </c>
      <c r="AE16" s="210" t="str">
        <f t="shared" si="4"/>
        <v/>
      </c>
      <c r="AF16" s="350" t="str">
        <f t="shared" si="1"/>
        <v/>
      </c>
      <c r="AG16" s="347">
        <f t="shared" si="5"/>
        <v>0</v>
      </c>
      <c r="AH16" s="299">
        <f t="shared" si="6"/>
        <v>1.00206</v>
      </c>
      <c r="AI16" s="649">
        <f>IF(AB16="","",SMALL(AH$6:AH$25,ROWS(AL$6:AL16)))</f>
        <v>1.0020500000000001</v>
      </c>
      <c r="AJ16" s="652">
        <f>IF(AI16="","",IF(AND(AL15=AL16),$AJ15,$AJ$6+10))</f>
        <v>1</v>
      </c>
      <c r="AK16" s="465">
        <f t="shared" si="7"/>
        <v>0</v>
      </c>
      <c r="AL16" s="468">
        <f t="shared" si="8"/>
        <v>0</v>
      </c>
      <c r="AM16" s="113"/>
      <c r="AN16" s="546" t="s">
        <v>117</v>
      </c>
      <c r="AO16" s="240">
        <v>2</v>
      </c>
      <c r="AP16" s="245" t="s">
        <v>249</v>
      </c>
      <c r="AQ16" s="550">
        <v>5</v>
      </c>
      <c r="AS16"/>
      <c r="AT16"/>
    </row>
    <row r="17" spans="1:46" ht="24.95" customHeight="1" thickBot="1">
      <c r="A17" s="94">
        <v>12</v>
      </c>
      <c r="B17" s="557"/>
      <c r="C17" s="558"/>
      <c r="D17" s="96"/>
      <c r="E17" s="44"/>
      <c r="F17" s="574">
        <v>6</v>
      </c>
      <c r="G17" s="476">
        <v>12</v>
      </c>
      <c r="H17" s="203" t="str">
        <f t="shared" si="0"/>
        <v/>
      </c>
      <c r="I17" s="130">
        <f>IF(J16=J17,0,IF(J16&gt;J17,2,4))</f>
        <v>0</v>
      </c>
      <c r="J17" s="579"/>
      <c r="K17" s="44"/>
      <c r="L17" s="44"/>
      <c r="M17" s="167" t="s">
        <v>7</v>
      </c>
      <c r="N17" s="167"/>
      <c r="O17" s="44"/>
      <c r="P17" s="44"/>
      <c r="Q17" s="526">
        <v>1</v>
      </c>
      <c r="R17" s="530" t="str">
        <f>IF(O24=O25,"Gagnant du 6",IF(O24&gt;O25,M24,M25))</f>
        <v>Gagnant du 6</v>
      </c>
      <c r="S17" s="396">
        <f>IF(T16=T17,0,IF(T16&gt;T17,0,1))</f>
        <v>0</v>
      </c>
      <c r="T17" s="634"/>
      <c r="U17" s="44"/>
      <c r="V17" s="524">
        <v>3</v>
      </c>
      <c r="W17" s="520" t="str">
        <f>IF(T14=T15,"Gagnant du 5",IF(T14&gt;T15,R14,R15))</f>
        <v>Gagnant du 5</v>
      </c>
      <c r="X17" s="130">
        <f>IF(Y16=Y17,0,IF(Y16&gt;Y17,0,1))</f>
        <v>0</v>
      </c>
      <c r="Y17" s="632"/>
      <c r="Z17" s="113"/>
      <c r="AA17" s="209">
        <v>12</v>
      </c>
      <c r="AB17" s="440">
        <f t="shared" si="9"/>
        <v>0</v>
      </c>
      <c r="AC17" s="155" t="str">
        <f t="shared" si="2"/>
        <v/>
      </c>
      <c r="AD17" s="210" t="str">
        <f t="shared" si="3"/>
        <v/>
      </c>
      <c r="AE17" s="210" t="str">
        <f t="shared" si="4"/>
        <v/>
      </c>
      <c r="AF17" s="350" t="str">
        <f t="shared" si="1"/>
        <v/>
      </c>
      <c r="AG17" s="347">
        <f t="shared" si="5"/>
        <v>0</v>
      </c>
      <c r="AH17" s="299">
        <f t="shared" si="6"/>
        <v>1.00207</v>
      </c>
      <c r="AI17" s="649">
        <f>IF(AB17="","",SMALL(AH$6:AH$25,ROWS(AL$6:AL17)))</f>
        <v>1.00206</v>
      </c>
      <c r="AJ17" s="652">
        <f>IF(AI17="","",IF(AND(AL16=AL17),$AJ16,$AJ$6+11))</f>
        <v>1</v>
      </c>
      <c r="AK17" s="465">
        <f t="shared" si="7"/>
        <v>0</v>
      </c>
      <c r="AL17" s="468">
        <f t="shared" si="8"/>
        <v>0</v>
      </c>
      <c r="AM17" s="61"/>
      <c r="AN17" s="547" t="s">
        <v>18</v>
      </c>
      <c r="AO17" s="242">
        <v>2</v>
      </c>
      <c r="AP17" s="243" t="s">
        <v>250</v>
      </c>
      <c r="AQ17" s="551">
        <v>4</v>
      </c>
      <c r="AS17"/>
      <c r="AT17"/>
    </row>
    <row r="18" spans="1:46" ht="24.95" customHeight="1">
      <c r="A18" s="94">
        <v>13</v>
      </c>
      <c r="B18" s="559"/>
      <c r="C18" s="560"/>
      <c r="D18" s="96"/>
      <c r="E18" s="44"/>
      <c r="F18" s="573" t="s">
        <v>2</v>
      </c>
      <c r="G18" s="475">
        <v>13</v>
      </c>
      <c r="H18" s="182" t="str">
        <f t="shared" si="0"/>
        <v/>
      </c>
      <c r="I18" s="126">
        <f>IF(J18=J19,0,IF(J18&lt;J19,2,4))</f>
        <v>0</v>
      </c>
      <c r="J18" s="576"/>
      <c r="K18" s="44"/>
      <c r="L18" s="522" t="s">
        <v>2</v>
      </c>
      <c r="M18" s="528" t="str">
        <f>IF(J6=J7,"Perdant du 1",IF(J6&lt;J7,H6,H7))</f>
        <v>Perdant du 1</v>
      </c>
      <c r="N18" s="172">
        <f>IF(O18=O19,0,IF(O18&lt;O19,0,1))</f>
        <v>0</v>
      </c>
      <c r="O18" s="631"/>
      <c r="P18" s="44"/>
      <c r="Q18" s="570" t="s">
        <v>2</v>
      </c>
      <c r="R18" s="535" t="str">
        <f>IF(O18=O19,"Gagnant du 8",IF(O18&gt;O19,M18,M19))</f>
        <v>Gagnant du 8</v>
      </c>
      <c r="S18" s="216">
        <v>0.5</v>
      </c>
      <c r="T18" s="121">
        <v>1</v>
      </c>
      <c r="U18" s="44"/>
      <c r="W18" s="533"/>
      <c r="X18" s="143"/>
      <c r="Z18" s="113"/>
      <c r="AA18" s="209">
        <v>13</v>
      </c>
      <c r="AB18" s="440">
        <f t="shared" si="9"/>
        <v>0</v>
      </c>
      <c r="AC18" s="155" t="str">
        <f t="shared" si="2"/>
        <v/>
      </c>
      <c r="AD18" s="210" t="str">
        <f t="shared" si="3"/>
        <v/>
      </c>
      <c r="AE18" s="210" t="str">
        <f t="shared" si="4"/>
        <v/>
      </c>
      <c r="AF18" s="350" t="str">
        <f t="shared" si="1"/>
        <v/>
      </c>
      <c r="AG18" s="347">
        <f t="shared" si="5"/>
        <v>0</v>
      </c>
      <c r="AH18" s="299">
        <f t="shared" si="6"/>
        <v>1.0020800000000001</v>
      </c>
      <c r="AI18" s="649">
        <f>IF(AB18="","",SMALL(AH$6:AH$25,ROWS(AL$6:AL18)))</f>
        <v>1.00207</v>
      </c>
      <c r="AJ18" s="652">
        <f>IF(AI18="","",IF(AND(AL17=AL18),$AJ17,$AJ$6+12))</f>
        <v>1</v>
      </c>
      <c r="AK18" s="465">
        <f t="shared" si="7"/>
        <v>0</v>
      </c>
      <c r="AL18" s="468">
        <f t="shared" si="8"/>
        <v>0</v>
      </c>
      <c r="AM18" s="61"/>
      <c r="AN18" s="548" t="s">
        <v>333</v>
      </c>
      <c r="AO18" s="242">
        <v>1</v>
      </c>
      <c r="AP18" s="675" t="s">
        <v>260</v>
      </c>
      <c r="AQ18" s="552">
        <v>3.5</v>
      </c>
      <c r="AS18"/>
      <c r="AT18"/>
    </row>
    <row r="19" spans="1:46" ht="24.95" customHeight="1" thickBot="1">
      <c r="A19" s="94">
        <v>14</v>
      </c>
      <c r="B19" s="557"/>
      <c r="C19" s="558"/>
      <c r="D19" s="96"/>
      <c r="E19" s="44"/>
      <c r="F19" s="574">
        <v>7</v>
      </c>
      <c r="G19" s="476">
        <v>14</v>
      </c>
      <c r="H19" s="198" t="str">
        <f t="shared" si="0"/>
        <v/>
      </c>
      <c r="I19" s="130">
        <f>IF(J18=J19,0,IF(J18&gt;J19,2,4))</f>
        <v>0</v>
      </c>
      <c r="J19" s="577"/>
      <c r="K19" s="44"/>
      <c r="L19" s="524">
        <v>8</v>
      </c>
      <c r="M19" s="521" t="str">
        <f>IF(J8=J9,"Perdant du 2",IF(J8&lt;J9,H8,H9))</f>
        <v>Perdant du 2</v>
      </c>
      <c r="N19" s="130">
        <f>IF(O18=O19,0,IF(O18&gt;O19,0,1))</f>
        <v>0</v>
      </c>
      <c r="O19" s="632"/>
      <c r="P19" s="44"/>
      <c r="Q19" s="282"/>
      <c r="R19" s="599" t="s">
        <v>105</v>
      </c>
      <c r="S19" s="399"/>
      <c r="T19" s="122"/>
      <c r="U19" s="44"/>
      <c r="W19" s="533"/>
      <c r="X19" s="143"/>
      <c r="Z19" s="61"/>
      <c r="AA19" s="209">
        <v>14</v>
      </c>
      <c r="AB19" s="440">
        <f t="shared" si="9"/>
        <v>0</v>
      </c>
      <c r="AC19" s="155" t="str">
        <f t="shared" si="2"/>
        <v/>
      </c>
      <c r="AD19" s="210" t="str">
        <f t="shared" si="3"/>
        <v/>
      </c>
      <c r="AE19" s="210" t="str">
        <f t="shared" si="4"/>
        <v/>
      </c>
      <c r="AF19" s="350" t="str">
        <f t="shared" si="1"/>
        <v/>
      </c>
      <c r="AG19" s="347">
        <f t="shared" si="5"/>
        <v>0</v>
      </c>
      <c r="AH19" s="299">
        <f t="shared" si="6"/>
        <v>1.0020899999999999</v>
      </c>
      <c r="AI19" s="649">
        <f>IF(AB19="","",SMALL(AH$6:AH$25,ROWS(AL$6:AL19)))</f>
        <v>1.0020800000000001</v>
      </c>
      <c r="AJ19" s="652">
        <f>IF(AI19="","",IF(AND(AL18=AL19),$AJ18,$AJ$6+13))</f>
        <v>1</v>
      </c>
      <c r="AK19" s="465">
        <f t="shared" si="7"/>
        <v>0</v>
      </c>
      <c r="AL19" s="468">
        <f t="shared" si="8"/>
        <v>0</v>
      </c>
      <c r="AM19" s="113"/>
      <c r="AN19" s="741" t="s">
        <v>64</v>
      </c>
      <c r="AO19" s="250">
        <v>2</v>
      </c>
      <c r="AP19" s="247" t="s">
        <v>251</v>
      </c>
      <c r="AQ19" s="553">
        <v>3</v>
      </c>
      <c r="AS19"/>
      <c r="AT19"/>
    </row>
    <row r="20" spans="1:46" ht="24.95" customHeight="1">
      <c r="A20" s="94">
        <v>15</v>
      </c>
      <c r="B20" s="559"/>
      <c r="C20" s="560"/>
      <c r="D20" s="96"/>
      <c r="E20" s="44"/>
      <c r="F20" s="573" t="s">
        <v>2</v>
      </c>
      <c r="G20" s="475">
        <v>15</v>
      </c>
      <c r="H20" s="182" t="str">
        <f t="shared" si="0"/>
        <v/>
      </c>
      <c r="I20" s="126">
        <f>IF(J20=J21,0,IF(J20&lt;J21,2,4))</f>
        <v>0</v>
      </c>
      <c r="J20" s="576"/>
      <c r="K20" s="44"/>
      <c r="L20" s="522" t="s">
        <v>2</v>
      </c>
      <c r="M20" s="528" t="str">
        <f>IF(J10=J11,"Perdant du 3",IF(J10&lt;J11,H10,H11))</f>
        <v>Perdant du 3</v>
      </c>
      <c r="N20" s="172">
        <f>IF(O20=O21,0,IF(O20&lt;O21,0,1))</f>
        <v>0</v>
      </c>
      <c r="O20" s="631"/>
      <c r="P20" s="44"/>
      <c r="Q20" s="44"/>
      <c r="R20" s="131"/>
      <c r="S20" s="131"/>
      <c r="T20" s="44"/>
      <c r="U20" s="44"/>
      <c r="W20" s="533"/>
      <c r="X20" s="143"/>
      <c r="Z20" s="61"/>
      <c r="AA20" s="209">
        <v>15</v>
      </c>
      <c r="AB20" s="440">
        <f t="shared" si="9"/>
        <v>0</v>
      </c>
      <c r="AC20" s="155" t="str">
        <f t="shared" si="2"/>
        <v/>
      </c>
      <c r="AD20" s="210" t="str">
        <f t="shared" si="3"/>
        <v/>
      </c>
      <c r="AE20" s="210" t="str">
        <f t="shared" si="4"/>
        <v/>
      </c>
      <c r="AF20" s="350" t="str">
        <f t="shared" si="1"/>
        <v/>
      </c>
      <c r="AG20" s="347">
        <f t="shared" si="5"/>
        <v>0</v>
      </c>
      <c r="AH20" s="299">
        <f t="shared" si="6"/>
        <v>1.0021</v>
      </c>
      <c r="AI20" s="649">
        <f>IF(AB20="","",SMALL(AH$6:AH$25,ROWS(AL$6:AL20)))</f>
        <v>1.0020899999999999</v>
      </c>
      <c r="AJ20" s="652">
        <f>IF(AI20="","",IF(AND(AL19=AL20),$AJ19,$AJ$6+14))</f>
        <v>1</v>
      </c>
      <c r="AK20" s="465">
        <f t="shared" si="7"/>
        <v>0</v>
      </c>
      <c r="AL20" s="468">
        <f t="shared" si="8"/>
        <v>0</v>
      </c>
      <c r="AM20" s="113"/>
      <c r="AN20" s="518" t="s">
        <v>336</v>
      </c>
      <c r="AO20" s="254">
        <v>2</v>
      </c>
      <c r="AP20" s="136" t="s">
        <v>277</v>
      </c>
      <c r="AQ20" s="256">
        <v>2.5</v>
      </c>
      <c r="AS20"/>
      <c r="AT20"/>
    </row>
    <row r="21" spans="1:46" ht="24.95" customHeight="1" thickBot="1">
      <c r="A21" s="94">
        <v>16</v>
      </c>
      <c r="B21" s="545"/>
      <c r="C21" s="558"/>
      <c r="D21" s="96"/>
      <c r="E21" s="44"/>
      <c r="F21" s="574">
        <v>8</v>
      </c>
      <c r="G21" s="476">
        <v>16</v>
      </c>
      <c r="H21" s="198" t="str">
        <f t="shared" si="0"/>
        <v/>
      </c>
      <c r="I21" s="130">
        <f>IF(J20=J21,0,IF(J20&gt;J21,2,4))</f>
        <v>0</v>
      </c>
      <c r="J21" s="577"/>
      <c r="K21" s="44"/>
      <c r="L21" s="524">
        <v>2</v>
      </c>
      <c r="M21" s="521" t="str">
        <f>IF(J12=J13,"Perdant du 4",IF(J12&lt;J13,H12,H13))</f>
        <v>Perdant du 4</v>
      </c>
      <c r="N21" s="130">
        <f>IF(O20=O21,0,IF(O20&gt;O21,0,1))</f>
        <v>0</v>
      </c>
      <c r="O21" s="632"/>
      <c r="P21" s="44"/>
      <c r="Q21" s="44"/>
      <c r="R21" s="147" t="s">
        <v>53</v>
      </c>
      <c r="S21" s="131"/>
      <c r="T21" s="44"/>
      <c r="U21" s="44"/>
      <c r="V21" s="44"/>
      <c r="W21" s="131"/>
      <c r="X21" s="135"/>
      <c r="Y21" s="44"/>
      <c r="Z21" s="113"/>
      <c r="AA21" s="209">
        <v>16</v>
      </c>
      <c r="AB21" s="440">
        <f t="shared" si="9"/>
        <v>0</v>
      </c>
      <c r="AC21" s="155" t="str">
        <f t="shared" si="2"/>
        <v/>
      </c>
      <c r="AD21" s="210" t="str">
        <f t="shared" si="3"/>
        <v/>
      </c>
      <c r="AE21" s="210" t="str">
        <f t="shared" si="4"/>
        <v/>
      </c>
      <c r="AF21" s="350" t="str">
        <f t="shared" si="1"/>
        <v/>
      </c>
      <c r="AG21" s="347">
        <f t="shared" si="5"/>
        <v>0</v>
      </c>
      <c r="AH21" s="299">
        <f t="shared" si="6"/>
        <v>1.0021100000000001</v>
      </c>
      <c r="AI21" s="649">
        <f>IF(AB21="","",SMALL(AH$6:AH$25,ROWS(AL$6:AL21)))</f>
        <v>1.0021</v>
      </c>
      <c r="AJ21" s="652">
        <f>IF(AI21="","",IF(AND(AL20=AL21),$AJ20,$AJ$6+15))</f>
        <v>1</v>
      </c>
      <c r="AK21" s="465">
        <f t="shared" si="7"/>
        <v>0</v>
      </c>
      <c r="AL21" s="468">
        <f t="shared" si="8"/>
        <v>0</v>
      </c>
      <c r="AM21" s="113"/>
      <c r="AN21" s="742" t="s">
        <v>116</v>
      </c>
      <c r="AO21" s="743">
        <v>2</v>
      </c>
      <c r="AP21" s="245" t="s">
        <v>246</v>
      </c>
      <c r="AQ21" s="259">
        <f t="shared" ref="AQ21:AQ24" si="10">SUM(AO21:AP21)</f>
        <v>2</v>
      </c>
      <c r="AS21"/>
      <c r="AT21"/>
    </row>
    <row r="22" spans="1:46" ht="24.95" customHeight="1">
      <c r="A22" s="94">
        <v>17</v>
      </c>
      <c r="B22" s="559"/>
      <c r="C22" s="560"/>
      <c r="D22" s="223"/>
      <c r="E22" s="44"/>
      <c r="F22" s="573" t="s">
        <v>2</v>
      </c>
      <c r="G22" s="475">
        <v>17</v>
      </c>
      <c r="H22" s="182" t="str">
        <f t="shared" si="0"/>
        <v/>
      </c>
      <c r="I22" s="126">
        <f>IF(J22=J23,0,IF(J22&lt;J23,2,4))</f>
        <v>0</v>
      </c>
      <c r="J22" s="576"/>
      <c r="K22" s="44"/>
      <c r="L22" s="522" t="s">
        <v>2</v>
      </c>
      <c r="M22" s="528" t="str">
        <f>IF(J14=J15,"Perdant du 5",IF(J14&lt;J15,H14,H15))</f>
        <v>Perdant du 5</v>
      </c>
      <c r="N22" s="172">
        <f>IF(O22=O23,0,IF(O22&lt;O23,0,1))</f>
        <v>0</v>
      </c>
      <c r="O22" s="631"/>
      <c r="P22" s="44"/>
      <c r="Q22" s="483" t="s">
        <v>2</v>
      </c>
      <c r="R22" s="528" t="str">
        <f>IF(O6=O7,"Perdant du 3",IF(O6&lt;O7,M6,M7))</f>
        <v>Perdant du 3</v>
      </c>
      <c r="S22" s="126">
        <f>IF(T22=T23,0,IF(T22&lt;T23,0,1))</f>
        <v>0</v>
      </c>
      <c r="T22" s="511"/>
      <c r="U22" s="44"/>
      <c r="V22" s="44"/>
      <c r="W22" s="131"/>
      <c r="X22" s="135"/>
      <c r="Y22" s="44"/>
      <c r="Z22" s="113"/>
      <c r="AA22" s="209">
        <v>17</v>
      </c>
      <c r="AB22" s="440">
        <f t="shared" si="9"/>
        <v>0</v>
      </c>
      <c r="AC22" s="155" t="str">
        <f t="shared" si="2"/>
        <v/>
      </c>
      <c r="AD22" s="210" t="str">
        <f t="shared" si="3"/>
        <v/>
      </c>
      <c r="AE22" s="210" t="str">
        <f t="shared" si="4"/>
        <v/>
      </c>
      <c r="AF22" s="350" t="str">
        <f t="shared" si="1"/>
        <v/>
      </c>
      <c r="AG22" s="347">
        <f t="shared" si="5"/>
        <v>0</v>
      </c>
      <c r="AH22" s="299">
        <f t="shared" si="6"/>
        <v>1.0021200000000001</v>
      </c>
      <c r="AI22" s="649">
        <f>IF(AB22="","",SMALL(AH$6:AH$25,ROWS(AL$6:AL22)))</f>
        <v>1.0021100000000001</v>
      </c>
      <c r="AJ22" s="652">
        <f>IF(AI22="","",IF(AND(AL21=AL22),$AJ21,$AJ$6+16))</f>
        <v>1</v>
      </c>
      <c r="AK22" s="465">
        <f t="shared" si="7"/>
        <v>0</v>
      </c>
      <c r="AL22" s="468">
        <f t="shared" si="8"/>
        <v>0</v>
      </c>
      <c r="AM22" s="113"/>
      <c r="AN22" s="563" t="s">
        <v>116</v>
      </c>
      <c r="AO22" s="255">
        <v>2</v>
      </c>
      <c r="AP22" s="243" t="s">
        <v>246</v>
      </c>
      <c r="AQ22" s="137">
        <f t="shared" si="10"/>
        <v>2</v>
      </c>
    </row>
    <row r="23" spans="1:46" ht="24.95" customHeight="1" thickBot="1">
      <c r="A23" s="94">
        <v>18</v>
      </c>
      <c r="B23" s="545"/>
      <c r="C23" s="558"/>
      <c r="D23" s="96"/>
      <c r="E23" s="44"/>
      <c r="F23" s="574">
        <v>9</v>
      </c>
      <c r="G23" s="476">
        <v>18</v>
      </c>
      <c r="H23" s="198" t="str">
        <f t="shared" si="0"/>
        <v/>
      </c>
      <c r="I23" s="130">
        <f>IF(J22=J23,0,IF(J22&gt;J23,2,4))</f>
        <v>0</v>
      </c>
      <c r="J23" s="577"/>
      <c r="K23" s="44"/>
      <c r="L23" s="526">
        <v>4</v>
      </c>
      <c r="M23" s="527" t="str">
        <f>IF(J16=J17,"Perdant du 6",IF(J16&lt;J17,H16,H17))</f>
        <v>Perdant du 6</v>
      </c>
      <c r="N23" s="130">
        <f>IF(O22=O23,0,IF(O22&gt;O23,0,1))</f>
        <v>0</v>
      </c>
      <c r="O23" s="634"/>
      <c r="P23" s="44"/>
      <c r="Q23" s="484">
        <v>3</v>
      </c>
      <c r="R23" s="531" t="str">
        <f>IF(O14=O15,"Perdant du 9",IF(O14&lt;O15,M14,M15))</f>
        <v>Perdant du 9</v>
      </c>
      <c r="S23" s="130">
        <f>IF(T22=T23,0,IF(T22&gt;T23,0,1))</f>
        <v>0</v>
      </c>
      <c r="T23" s="512"/>
      <c r="U23" s="44"/>
      <c r="V23" s="44"/>
      <c r="W23" s="147" t="s">
        <v>11</v>
      </c>
      <c r="X23" s="131"/>
      <c r="Y23" s="44"/>
      <c r="Z23" s="113"/>
      <c r="AA23" s="209">
        <v>18</v>
      </c>
      <c r="AB23" s="440">
        <f t="shared" si="9"/>
        <v>0</v>
      </c>
      <c r="AC23" s="155" t="str">
        <f t="shared" si="2"/>
        <v/>
      </c>
      <c r="AD23" s="210" t="str">
        <f t="shared" si="3"/>
        <v/>
      </c>
      <c r="AE23" s="210" t="str">
        <f t="shared" si="4"/>
        <v/>
      </c>
      <c r="AF23" s="350" t="str">
        <f t="shared" si="1"/>
        <v/>
      </c>
      <c r="AG23" s="347">
        <f t="shared" si="5"/>
        <v>0</v>
      </c>
      <c r="AH23" s="299">
        <f t="shared" si="6"/>
        <v>1.00213</v>
      </c>
      <c r="AI23" s="649">
        <f>IF(AB23="","",SMALL(AH$6:AH$25,ROWS(AL$6:AL23)))</f>
        <v>1.0021200000000001</v>
      </c>
      <c r="AJ23" s="652">
        <f>IF(AI23="","",IF(AND(AL22=AL23),$AJ22,$AJ$6+17))</f>
        <v>1</v>
      </c>
      <c r="AK23" s="465">
        <f t="shared" si="7"/>
        <v>0</v>
      </c>
      <c r="AL23" s="468">
        <f t="shared" si="8"/>
        <v>0</v>
      </c>
      <c r="AM23" s="113"/>
      <c r="AN23" s="563" t="s">
        <v>116</v>
      </c>
      <c r="AO23" s="255">
        <v>2</v>
      </c>
      <c r="AP23" s="243" t="s">
        <v>246</v>
      </c>
      <c r="AQ23" s="137">
        <f t="shared" si="10"/>
        <v>2</v>
      </c>
    </row>
    <row r="24" spans="1:46" ht="24.95" customHeight="1" thickBot="1">
      <c r="A24" s="94">
        <v>19</v>
      </c>
      <c r="B24" s="545"/>
      <c r="C24" s="558"/>
      <c r="D24" s="96"/>
      <c r="E24" s="44"/>
      <c r="F24" s="573" t="s">
        <v>2</v>
      </c>
      <c r="G24" s="477">
        <v>19</v>
      </c>
      <c r="H24" s="182" t="str">
        <f t="shared" si="0"/>
        <v/>
      </c>
      <c r="I24" s="216">
        <v>3</v>
      </c>
      <c r="J24" s="121">
        <v>1</v>
      </c>
      <c r="K24" s="44"/>
      <c r="L24" s="522" t="s">
        <v>2</v>
      </c>
      <c r="M24" s="528" t="str">
        <f>IF(J18=J19,"Perdant du 7",IF(J18&lt;J19,H18,H19))</f>
        <v>Perdant du 7</v>
      </c>
      <c r="N24" s="172">
        <f>IF(O24=O25,0,IF(O24&lt;O25,0,1))</f>
        <v>0</v>
      </c>
      <c r="O24" s="631"/>
      <c r="P24" s="44"/>
      <c r="Q24" s="509" t="s">
        <v>2</v>
      </c>
      <c r="R24" s="521" t="str">
        <f>IF(O10=O11,"Perdant du 7",IF(O10&lt;O11,M10,M11))</f>
        <v>Perdant du 7</v>
      </c>
      <c r="S24" s="400">
        <f>IF(T24=T25,0,IF(T24&lt;T25,0,1))</f>
        <v>0</v>
      </c>
      <c r="T24" s="636"/>
      <c r="U24" s="44"/>
      <c r="V24" s="483" t="s">
        <v>2</v>
      </c>
      <c r="W24" s="535" t="str">
        <f>IF(T22=T23,"Gagnant du 3",IF(T22&gt;T23,R22,R23))</f>
        <v>Gagnant du 3</v>
      </c>
      <c r="X24" s="177">
        <f>IF(Y24=Y25,0,IF(Y24&lt;Y25,0,1))</f>
        <v>0</v>
      </c>
      <c r="Y24" s="511"/>
      <c r="Z24" s="113"/>
      <c r="AA24" s="209">
        <v>19</v>
      </c>
      <c r="AB24" s="440">
        <f t="shared" si="9"/>
        <v>0</v>
      </c>
      <c r="AC24" s="155" t="str">
        <f t="shared" si="2"/>
        <v/>
      </c>
      <c r="AD24" s="210" t="str">
        <f t="shared" si="3"/>
        <v/>
      </c>
      <c r="AE24" s="210" t="str">
        <f t="shared" si="4"/>
        <v/>
      </c>
      <c r="AF24" s="350" t="str">
        <f t="shared" si="1"/>
        <v/>
      </c>
      <c r="AG24" s="347">
        <f t="shared" si="5"/>
        <v>0</v>
      </c>
      <c r="AH24" s="299">
        <f t="shared" si="6"/>
        <v>1.00214</v>
      </c>
      <c r="AI24" s="649">
        <f>IF(AB24="","",SMALL(AH$6:AH$25,ROWS(AL$6:AL24)))</f>
        <v>1.00213</v>
      </c>
      <c r="AJ24" s="652">
        <f>IF(AI24="","",IF(AND(AL23=AL24),$AJ23,$AJ$6+18))</f>
        <v>1</v>
      </c>
      <c r="AK24" s="465">
        <f t="shared" si="7"/>
        <v>0</v>
      </c>
      <c r="AL24" s="468">
        <f t="shared" si="8"/>
        <v>0</v>
      </c>
      <c r="AM24" s="113"/>
      <c r="AN24" s="142" t="s">
        <v>116</v>
      </c>
      <c r="AO24" s="253">
        <v>2</v>
      </c>
      <c r="AP24" s="247" t="s">
        <v>246</v>
      </c>
      <c r="AQ24" s="138">
        <f t="shared" si="10"/>
        <v>2</v>
      </c>
    </row>
    <row r="25" spans="1:46" ht="24.95" customHeight="1" thickBot="1">
      <c r="A25" s="110">
        <v>20</v>
      </c>
      <c r="B25" s="601" t="s">
        <v>105</v>
      </c>
      <c r="C25" s="602"/>
      <c r="D25" s="600">
        <v>20</v>
      </c>
      <c r="E25" s="44"/>
      <c r="F25" s="170">
        <v>10</v>
      </c>
      <c r="G25" s="478">
        <v>20</v>
      </c>
      <c r="H25" s="205" t="s">
        <v>105</v>
      </c>
      <c r="I25" s="399"/>
      <c r="J25" s="122"/>
      <c r="K25" s="44"/>
      <c r="L25" s="526">
        <v>6</v>
      </c>
      <c r="M25" s="594" t="str">
        <f>IF(J20=J21,"Perdant du 8",IF(J20&lt;J21,H20,H21))</f>
        <v>Perdant du 8</v>
      </c>
      <c r="N25" s="396">
        <f>IF(O24=O25,0,IF(O24&gt;O25,0,1))</f>
        <v>0</v>
      </c>
      <c r="O25" s="634"/>
      <c r="P25" s="44"/>
      <c r="Q25" s="598">
        <v>6</v>
      </c>
      <c r="R25" s="594" t="str">
        <f>IF(O12=O13,"Perdant du 1",IF(O12&lt;O13,M12,M13))</f>
        <v>Perdant du 1</v>
      </c>
      <c r="S25" s="401">
        <f>IF(T24=T25,0,IF(T24&gt;T25,0,1))</f>
        <v>0</v>
      </c>
      <c r="T25" s="637"/>
      <c r="U25" s="44"/>
      <c r="V25" s="484">
        <v>5</v>
      </c>
      <c r="W25" s="520" t="str">
        <f>IF(T24=T25,"Gagnant du 6",IF(T24&gt;T25,R24,R25))</f>
        <v>Gagnant du 6</v>
      </c>
      <c r="X25" s="178">
        <f>IF(Y24=Y25,0,IF(Y24&gt;Y25,0,2))</f>
        <v>0</v>
      </c>
      <c r="Y25" s="512"/>
      <c r="Z25" s="113"/>
      <c r="AA25" s="358">
        <v>20</v>
      </c>
      <c r="AB25" s="427" t="str">
        <f t="shared" si="9"/>
        <v>OFFICE</v>
      </c>
      <c r="AC25" s="461">
        <f t="shared" si="2"/>
        <v>0</v>
      </c>
      <c r="AD25" s="379">
        <f t="shared" si="3"/>
        <v>0</v>
      </c>
      <c r="AE25" s="379">
        <f t="shared" si="4"/>
        <v>0</v>
      </c>
      <c r="AF25" s="429" t="str">
        <f t="shared" si="1"/>
        <v/>
      </c>
      <c r="AG25" s="430">
        <f t="shared" si="5"/>
        <v>0</v>
      </c>
      <c r="AH25" s="425">
        <f t="shared" si="6"/>
        <v>1.0002500000000001</v>
      </c>
      <c r="AI25" s="674">
        <f>IF(AB25="","",SMALL(AH$6:AH$25,ROWS(AL$6:AL25)))</f>
        <v>1.00214</v>
      </c>
      <c r="AJ25" s="673">
        <v>20</v>
      </c>
      <c r="AK25" s="466">
        <f t="shared" si="7"/>
        <v>0</v>
      </c>
      <c r="AL25" s="471">
        <f t="shared" si="8"/>
        <v>0</v>
      </c>
      <c r="AM25" s="113"/>
      <c r="AN25" s="745"/>
      <c r="AO25" s="745"/>
      <c r="AP25" s="745"/>
      <c r="AQ25" s="746"/>
    </row>
    <row r="26" spans="1:46" ht="24.95" customHeight="1">
      <c r="A26" s="44"/>
      <c r="B26" s="44"/>
      <c r="C26" s="44"/>
      <c r="D26" s="44"/>
      <c r="E26" s="44"/>
      <c r="F26" s="44"/>
      <c r="G26" s="44"/>
      <c r="H26" s="144" t="s">
        <v>232</v>
      </c>
      <c r="I26" s="44"/>
      <c r="J26" s="276"/>
      <c r="K26" s="44"/>
      <c r="L26" s="522" t="s">
        <v>2</v>
      </c>
      <c r="M26" s="528" t="str">
        <f>IF(J22=J23,"Perdant du 9",IF(J22&lt;J23,H22,H23))</f>
        <v>Perdant du 9</v>
      </c>
      <c r="N26" s="216">
        <v>0.5</v>
      </c>
      <c r="O26" s="121">
        <v>1</v>
      </c>
      <c r="P26" s="44"/>
      <c r="Q26" s="570" t="s">
        <v>2</v>
      </c>
      <c r="R26" s="595" t="str">
        <f>IF(O8=O9,"Perdant du 5",IF(O8&lt;O9,M8,M9))</f>
        <v>Perdant du 5</v>
      </c>
      <c r="S26" s="397">
        <v>0.5</v>
      </c>
      <c r="T26" s="121">
        <v>1</v>
      </c>
      <c r="U26" s="44"/>
      <c r="V26" s="44"/>
      <c r="W26" s="113"/>
      <c r="X26" s="44"/>
      <c r="Y26" s="189"/>
      <c r="Z26" s="113"/>
      <c r="AA26" s="113"/>
      <c r="AB26" s="113"/>
      <c r="AC26" s="113">
        <f>SUM(AC6:AC25)</f>
        <v>0</v>
      </c>
      <c r="AD26" s="113">
        <f>SUM(AD6:AD25)</f>
        <v>0</v>
      </c>
      <c r="AE26" s="113">
        <f>SUM(AE6:AE25)</f>
        <v>0</v>
      </c>
      <c r="AF26" s="113">
        <f>SUM(AF6:AF25)</f>
        <v>0</v>
      </c>
      <c r="AG26" s="113">
        <f>SUM(AG6:AG25)</f>
        <v>0</v>
      </c>
      <c r="AH26" s="113"/>
      <c r="AI26" s="113"/>
      <c r="AJ26" s="113"/>
      <c r="AK26" s="113"/>
      <c r="AL26" s="113">
        <f>SUM(AL6:AL25)</f>
        <v>0</v>
      </c>
      <c r="AM26" s="113"/>
    </row>
    <row r="27" spans="1:46" ht="24.95" customHeight="1" thickBo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282">
        <v>10</v>
      </c>
      <c r="M27" s="205" t="s">
        <v>105</v>
      </c>
      <c r="N27" s="399"/>
      <c r="O27" s="122"/>
      <c r="P27" s="44"/>
      <c r="Q27" s="282"/>
      <c r="R27" s="118" t="s">
        <v>105</v>
      </c>
      <c r="S27" s="398"/>
      <c r="T27" s="122"/>
      <c r="U27" s="44"/>
      <c r="V27" s="44"/>
      <c r="W27" s="44"/>
      <c r="X27" s="44"/>
      <c r="Y27" s="189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</row>
    <row r="28" spans="1:46" ht="24.95" customHeight="1">
      <c r="A28" s="44"/>
      <c r="B28" s="421" t="s">
        <v>147</v>
      </c>
      <c r="C28" s="44"/>
      <c r="D28" s="44"/>
      <c r="E28" s="44"/>
      <c r="F28" s="276"/>
      <c r="G28" s="276"/>
      <c r="H28" s="44"/>
      <c r="I28" s="44"/>
      <c r="J28" s="189"/>
      <c r="K28" s="189"/>
      <c r="L28" s="61"/>
      <c r="M28" s="283"/>
      <c r="N28" s="61"/>
      <c r="O28" s="61"/>
      <c r="P28" s="189"/>
      <c r="U28" s="44"/>
      <c r="V28" s="189"/>
      <c r="W28" s="189"/>
      <c r="X28" s="189"/>
      <c r="Y28" s="189"/>
      <c r="Z28" s="199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</row>
    <row r="29" spans="1:46" ht="24.95" customHeight="1" thickBot="1">
      <c r="A29" s="44"/>
      <c r="B29" s="648" t="s">
        <v>45</v>
      </c>
      <c r="C29" s="44"/>
      <c r="D29" s="44"/>
      <c r="E29" s="44"/>
      <c r="F29" s="44"/>
      <c r="G29" s="44"/>
      <c r="H29" s="44"/>
      <c r="I29" s="44"/>
      <c r="J29" s="189"/>
      <c r="K29" s="189"/>
      <c r="L29" s="44"/>
      <c r="M29" s="44"/>
      <c r="N29" s="113"/>
      <c r="O29" s="44"/>
      <c r="P29" s="189"/>
      <c r="U29" s="44"/>
      <c r="V29" s="189"/>
      <c r="W29" s="189"/>
      <c r="X29" s="189"/>
      <c r="Y29" s="189"/>
      <c r="Z29" s="199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M29" s="113"/>
    </row>
    <row r="30" spans="1:46" ht="24.95" customHeight="1" thickBot="1">
      <c r="A30" s="189"/>
      <c r="B30" s="189"/>
      <c r="C30" s="189"/>
      <c r="D30" s="189"/>
      <c r="E30" s="189"/>
      <c r="F30" s="189"/>
      <c r="G30" s="189"/>
      <c r="H30" s="285"/>
      <c r="I30" s="135">
        <f>SUM(I6:I25)</f>
        <v>3</v>
      </c>
      <c r="J30" s="279"/>
      <c r="K30" s="279"/>
      <c r="L30" s="279"/>
      <c r="M30" s="135"/>
      <c r="N30" s="131">
        <f>SUM(N6:N27)</f>
        <v>0.5</v>
      </c>
      <c r="O30" s="135"/>
      <c r="P30" s="135"/>
      <c r="Q30" s="279"/>
      <c r="R30" s="143"/>
      <c r="S30" s="135">
        <f>SUM(S6:S27)</f>
        <v>2</v>
      </c>
      <c r="T30" s="143"/>
      <c r="U30" s="143"/>
      <c r="V30" s="279"/>
      <c r="W30" s="279"/>
      <c r="X30" s="135">
        <f>SUM(X8:X25)</f>
        <v>0</v>
      </c>
      <c r="Y30" s="279"/>
      <c r="Z30" s="143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1">
        <f>SUM(I30:Z30)</f>
        <v>5.5</v>
      </c>
      <c r="AL30" s="271">
        <f>SUM(AL6:AL24)</f>
        <v>0</v>
      </c>
      <c r="AM30" s="189"/>
    </row>
    <row r="31" spans="1:46" ht="18.75">
      <c r="A31" s="189"/>
      <c r="G31" s="189"/>
      <c r="H31" s="189"/>
      <c r="I31" s="44"/>
      <c r="J31" s="189"/>
      <c r="K31" s="189"/>
      <c r="L31" s="189"/>
      <c r="M31" s="189"/>
      <c r="N31" s="189"/>
      <c r="O31" s="189"/>
      <c r="P31" s="199"/>
      <c r="Q31" s="189"/>
      <c r="R31" s="189"/>
      <c r="W31" s="189"/>
      <c r="X31" s="276"/>
      <c r="Y31" s="276"/>
      <c r="Z31" s="113"/>
      <c r="AA31" s="44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S31" s="161"/>
      <c r="AT31" s="161"/>
    </row>
    <row r="32" spans="1:46" ht="18.75">
      <c r="A32" s="189"/>
      <c r="G32" s="189"/>
      <c r="H32" s="189"/>
      <c r="I32" s="189">
        <v>57</v>
      </c>
      <c r="J32" s="189"/>
      <c r="K32" s="189"/>
      <c r="L32" s="593"/>
      <c r="M32" s="593"/>
      <c r="N32" s="189">
        <v>14.5</v>
      </c>
      <c r="O32" s="189"/>
      <c r="P32" s="199"/>
      <c r="Q32" s="189"/>
      <c r="R32" s="593"/>
      <c r="S32" s="44">
        <v>10</v>
      </c>
      <c r="T32" s="593"/>
      <c r="U32" s="44"/>
      <c r="V32" s="44"/>
      <c r="W32" s="189"/>
      <c r="X32" s="593">
        <v>4</v>
      </c>
      <c r="AG32" s="199"/>
      <c r="AH32" s="199"/>
      <c r="AI32" s="199"/>
      <c r="AJ32" s="199"/>
      <c r="AK32" s="199">
        <f>SUM(I32:X32)</f>
        <v>85.5</v>
      </c>
      <c r="AL32" s="199"/>
      <c r="AM32" s="199"/>
      <c r="AS32" s="161"/>
      <c r="AT32" s="161"/>
    </row>
    <row r="33" spans="1:46" ht="18.75">
      <c r="A33" s="189"/>
      <c r="G33" s="189"/>
      <c r="H33" s="189"/>
      <c r="I33" s="189"/>
      <c r="J33" s="189"/>
      <c r="K33" s="189"/>
      <c r="N33" s="189"/>
      <c r="O33" s="189"/>
      <c r="P33" s="199"/>
      <c r="Q33" s="189"/>
      <c r="S33" s="189"/>
      <c r="T33" s="189"/>
      <c r="U33" s="189"/>
      <c r="V33" s="189"/>
      <c r="W33" s="189"/>
      <c r="AG33" s="199"/>
      <c r="AH33" s="199"/>
      <c r="AI33" s="199"/>
      <c r="AJ33" s="199"/>
      <c r="AK33" s="199"/>
      <c r="AL33" s="199"/>
      <c r="AM33" s="199"/>
      <c r="AS33" s="161"/>
      <c r="AT33" s="161"/>
    </row>
    <row r="36" spans="1:46" ht="18.75">
      <c r="B36" s="44"/>
      <c r="C36" s="44" t="s">
        <v>41</v>
      </c>
      <c r="D36" s="44"/>
      <c r="E36" s="189"/>
      <c r="F36" s="189"/>
    </row>
    <row r="37" spans="1:46" ht="18.75">
      <c r="B37" s="144" t="s">
        <v>42</v>
      </c>
      <c r="C37" s="214" t="s">
        <v>101</v>
      </c>
      <c r="D37" s="44"/>
      <c r="E37" s="189"/>
      <c r="F37" s="189"/>
    </row>
    <row r="38" spans="1:46" ht="18.75">
      <c r="B38" s="145" t="s">
        <v>43</v>
      </c>
      <c r="C38" s="214" t="s">
        <v>102</v>
      </c>
      <c r="D38" s="41"/>
      <c r="E38" s="189"/>
      <c r="F38" s="189"/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4:AL4"/>
    <mergeCell ref="AO4:AQ4"/>
  </mergeCells>
  <conditionalFormatting sqref="AJ6:AJ25">
    <cfRule type="duplicateValues" dxfId="3" priority="1"/>
  </conditionalFormatting>
  <pageMargins left="0.24" right="0.14000000000000001" top="0.28000000000000003" bottom="0.47" header="0.14000000000000001" footer="0.21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P28"/>
  <sheetViews>
    <sheetView workbookViewId="0">
      <selection activeCell="S17" sqref="S17"/>
    </sheetView>
  </sheetViews>
  <sheetFormatPr baseColWidth="10" defaultRowHeight="15"/>
  <cols>
    <col min="1" max="1" width="5.7109375" customWidth="1"/>
    <col min="2" max="2" width="23.5703125" customWidth="1"/>
    <col min="3" max="3" width="4.85546875" customWidth="1"/>
    <col min="4" max="4" width="3.28515625" customWidth="1"/>
    <col min="5" max="5" width="5.7109375" customWidth="1"/>
    <col min="6" max="6" width="23.5703125" customWidth="1"/>
    <col min="7" max="7" width="4.85546875" customWidth="1"/>
    <col min="8" max="8" width="2.85546875" customWidth="1"/>
    <col min="9" max="9" width="5.7109375" customWidth="1"/>
    <col min="10" max="10" width="23.5703125" customWidth="1"/>
    <col min="11" max="11" width="4.85546875" customWidth="1"/>
    <col min="12" max="12" width="3" customWidth="1"/>
    <col min="13" max="13" width="5.7109375" customWidth="1"/>
    <col min="14" max="14" width="23.5703125" customWidth="1"/>
    <col min="15" max="15" width="4.7109375" customWidth="1"/>
  </cols>
  <sheetData>
    <row r="1" spans="1:16" ht="20.100000000000001" customHeight="1"/>
    <row r="2" spans="1:16" ht="20.100000000000001" customHeight="1">
      <c r="A2" s="32" t="s">
        <v>0</v>
      </c>
      <c r="B2" s="33"/>
      <c r="C2" s="34"/>
      <c r="D2" s="33"/>
      <c r="E2" s="33"/>
      <c r="F2" s="33"/>
      <c r="G2" s="1"/>
      <c r="H2" s="33"/>
      <c r="I2" s="33"/>
      <c r="J2" s="33"/>
      <c r="K2" s="33" t="s">
        <v>1</v>
      </c>
      <c r="L2" s="33"/>
      <c r="M2" s="33"/>
      <c r="N2" s="33"/>
      <c r="O2" s="34"/>
      <c r="P2" s="18"/>
    </row>
    <row r="3" spans="1:16" ht="20.100000000000001" customHeight="1" thickBot="1">
      <c r="A3" s="32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  <c r="P3" s="18"/>
    </row>
    <row r="4" spans="1:16" ht="20.100000000000001" customHeight="1" thickBot="1">
      <c r="A4" s="6"/>
      <c r="B4" s="60" t="s">
        <v>61</v>
      </c>
      <c r="C4" s="5"/>
      <c r="D4" s="31" t="s">
        <v>21</v>
      </c>
      <c r="E4" s="31"/>
      <c r="F4" s="31"/>
      <c r="G4" s="31"/>
      <c r="H4" s="4"/>
      <c r="I4" s="4"/>
      <c r="J4" s="4"/>
      <c r="K4" s="31" t="s">
        <v>22</v>
      </c>
      <c r="L4" s="31"/>
      <c r="M4" s="31"/>
      <c r="N4" s="31"/>
      <c r="O4" s="4"/>
    </row>
    <row r="5" spans="1:16" ht="20.100000000000001" customHeight="1">
      <c r="A5" s="6"/>
      <c r="B5" s="3"/>
      <c r="C5" s="36"/>
      <c r="D5" s="36"/>
      <c r="E5" s="36"/>
      <c r="F5" s="36"/>
      <c r="G5" s="4"/>
      <c r="H5" s="4"/>
      <c r="I5" s="4"/>
      <c r="J5" s="4"/>
      <c r="K5" s="36"/>
      <c r="L5" s="36"/>
      <c r="M5" s="36"/>
      <c r="N5" s="36"/>
      <c r="O5" s="4"/>
    </row>
    <row r="6" spans="1:16" ht="20.100000000000001" customHeight="1">
      <c r="A6" s="7"/>
      <c r="B6" s="35" t="s">
        <v>3</v>
      </c>
      <c r="C6" s="35"/>
      <c r="D6" s="35"/>
      <c r="E6" s="35"/>
      <c r="F6" s="35" t="s">
        <v>5</v>
      </c>
      <c r="G6" s="35"/>
      <c r="H6" s="35"/>
      <c r="I6" s="35"/>
      <c r="J6" s="35" t="s">
        <v>8</v>
      </c>
      <c r="K6" s="7"/>
      <c r="L6" s="7"/>
      <c r="M6" s="7"/>
      <c r="N6" s="35" t="s">
        <v>54</v>
      </c>
      <c r="O6" s="7"/>
    </row>
    <row r="7" spans="1:16" ht="20.10000000000000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6" ht="20.100000000000001" customHeight="1" thickBot="1">
      <c r="A8" s="7"/>
      <c r="B8" s="7" t="s">
        <v>4</v>
      </c>
      <c r="C8" s="7"/>
      <c r="D8" s="2"/>
      <c r="E8" s="2"/>
      <c r="F8" s="7" t="s">
        <v>6</v>
      </c>
      <c r="G8" s="2"/>
      <c r="H8" s="2"/>
      <c r="I8" s="2"/>
      <c r="J8" s="7" t="s">
        <v>49</v>
      </c>
      <c r="K8" s="2"/>
      <c r="L8" s="2"/>
      <c r="M8" s="2"/>
      <c r="N8" s="2"/>
      <c r="O8" s="7"/>
    </row>
    <row r="9" spans="1:16" ht="20.100000000000001" customHeight="1" thickBot="1">
      <c r="A9" s="8" t="s">
        <v>2</v>
      </c>
      <c r="B9" s="19"/>
      <c r="C9" s="16"/>
      <c r="D9" s="2"/>
      <c r="E9" s="8" t="s">
        <v>2</v>
      </c>
      <c r="F9" s="19" t="s">
        <v>24</v>
      </c>
      <c r="G9" s="16"/>
      <c r="H9" s="2"/>
      <c r="I9" s="8" t="s">
        <v>2</v>
      </c>
      <c r="J9" s="19" t="s">
        <v>26</v>
      </c>
      <c r="K9" s="16"/>
      <c r="L9" s="2"/>
      <c r="M9" s="2"/>
      <c r="N9" s="7" t="s">
        <v>9</v>
      </c>
      <c r="O9" s="7"/>
    </row>
    <row r="10" spans="1:16" ht="20.100000000000001" customHeight="1" thickBot="1">
      <c r="A10" s="9">
        <v>1</v>
      </c>
      <c r="B10" s="20"/>
      <c r="C10" s="17"/>
      <c r="D10" s="2"/>
      <c r="E10" s="9">
        <v>3</v>
      </c>
      <c r="F10" s="20" t="s">
        <v>25</v>
      </c>
      <c r="G10" s="17"/>
      <c r="H10" s="2"/>
      <c r="I10" s="9">
        <v>6</v>
      </c>
      <c r="J10" s="20" t="s">
        <v>28</v>
      </c>
      <c r="K10" s="17"/>
      <c r="L10" s="2"/>
      <c r="M10" s="8" t="s">
        <v>2</v>
      </c>
      <c r="N10" s="19" t="s">
        <v>29</v>
      </c>
      <c r="O10" s="16"/>
    </row>
    <row r="11" spans="1:16" ht="20.100000000000001" customHeight="1" thickBot="1">
      <c r="A11" s="8" t="s">
        <v>2</v>
      </c>
      <c r="B11" s="19"/>
      <c r="C11" s="16"/>
      <c r="D11" s="11"/>
      <c r="E11" s="8" t="s">
        <v>2</v>
      </c>
      <c r="F11" s="19" t="s">
        <v>26</v>
      </c>
      <c r="G11" s="16"/>
      <c r="H11" s="11"/>
      <c r="I11" s="8" t="s">
        <v>2</v>
      </c>
      <c r="J11" s="19" t="s">
        <v>24</v>
      </c>
      <c r="K11" s="16"/>
      <c r="L11" s="11"/>
      <c r="M11" s="9">
        <v>4</v>
      </c>
      <c r="N11" s="20" t="s">
        <v>25</v>
      </c>
      <c r="O11" s="17"/>
    </row>
    <row r="12" spans="1:16" ht="20.100000000000001" customHeight="1" thickBot="1">
      <c r="A12" s="9">
        <v>2</v>
      </c>
      <c r="B12" s="20"/>
      <c r="C12" s="17"/>
      <c r="D12" s="2"/>
      <c r="E12" s="37">
        <v>5</v>
      </c>
      <c r="F12" s="38" t="s">
        <v>27</v>
      </c>
      <c r="G12" s="39"/>
      <c r="H12" s="2"/>
      <c r="I12" s="9">
        <v>2</v>
      </c>
      <c r="J12" s="20" t="s">
        <v>30</v>
      </c>
      <c r="K12" s="17"/>
      <c r="L12" s="2"/>
      <c r="M12" s="2"/>
      <c r="N12" s="2"/>
      <c r="O12" s="7"/>
    </row>
    <row r="13" spans="1:16" ht="20.100000000000001" customHeight="1">
      <c r="A13" s="8" t="s">
        <v>2</v>
      </c>
      <c r="B13" s="19"/>
      <c r="C13" s="16"/>
      <c r="D13" s="2"/>
      <c r="E13" s="8" t="s">
        <v>2</v>
      </c>
      <c r="F13" s="19" t="s">
        <v>28</v>
      </c>
      <c r="G13" s="16"/>
      <c r="H13" s="2"/>
      <c r="I13" s="2"/>
      <c r="J13" s="2"/>
      <c r="K13" s="7"/>
      <c r="L13" s="2"/>
      <c r="M13" s="2"/>
      <c r="N13" s="2"/>
      <c r="O13" s="7"/>
    </row>
    <row r="14" spans="1:16" ht="20.100000000000001" customHeight="1" thickBot="1">
      <c r="A14" s="9">
        <v>3</v>
      </c>
      <c r="B14" s="20"/>
      <c r="C14" s="17"/>
      <c r="D14" s="11"/>
      <c r="E14" s="9">
        <v>7</v>
      </c>
      <c r="F14" s="20" t="s">
        <v>29</v>
      </c>
      <c r="G14" s="17"/>
      <c r="H14" s="11"/>
      <c r="I14" s="2"/>
      <c r="J14" s="2"/>
      <c r="K14" s="7"/>
      <c r="L14" s="11"/>
      <c r="M14" s="11"/>
      <c r="N14" s="11"/>
      <c r="O14" s="10"/>
    </row>
    <row r="15" spans="1:16" ht="20.100000000000001" customHeight="1" thickBot="1">
      <c r="A15" s="8" t="s">
        <v>2</v>
      </c>
      <c r="B15" s="19"/>
      <c r="C15" s="16"/>
      <c r="D15" s="2"/>
      <c r="E15" s="8" t="s">
        <v>2</v>
      </c>
      <c r="F15" s="19" t="s">
        <v>30</v>
      </c>
      <c r="G15" s="16"/>
      <c r="H15" s="2"/>
      <c r="I15" s="2"/>
      <c r="J15" s="7" t="s">
        <v>51</v>
      </c>
      <c r="K15" s="7"/>
      <c r="L15" s="2"/>
      <c r="M15" s="11"/>
      <c r="N15" s="11"/>
      <c r="O15" s="10"/>
    </row>
    <row r="16" spans="1:16" ht="20.100000000000001" customHeight="1" thickBot="1">
      <c r="A16" s="9">
        <v>4</v>
      </c>
      <c r="B16" s="20"/>
      <c r="C16" s="17"/>
      <c r="D16" s="2"/>
      <c r="E16" s="9">
        <v>1</v>
      </c>
      <c r="F16" s="21" t="s">
        <v>31</v>
      </c>
      <c r="G16" s="17"/>
      <c r="H16" s="2"/>
      <c r="I16" s="12" t="s">
        <v>2</v>
      </c>
      <c r="J16" s="22" t="s">
        <v>25</v>
      </c>
      <c r="K16" s="24"/>
      <c r="L16" s="2"/>
      <c r="M16" s="2"/>
      <c r="N16" s="7" t="s">
        <v>10</v>
      </c>
      <c r="O16" s="7"/>
    </row>
    <row r="17" spans="1:15" ht="20.100000000000001" customHeight="1" thickBot="1">
      <c r="A17" s="8" t="s">
        <v>2</v>
      </c>
      <c r="B17" s="19"/>
      <c r="C17" s="16"/>
      <c r="D17" s="2"/>
      <c r="E17" s="2"/>
      <c r="F17" s="7" t="s">
        <v>7</v>
      </c>
      <c r="G17" s="2"/>
      <c r="H17" s="2"/>
      <c r="I17" s="13">
        <v>5</v>
      </c>
      <c r="J17" s="23" t="s">
        <v>31</v>
      </c>
      <c r="K17" s="25"/>
      <c r="L17" s="2"/>
      <c r="M17" s="12" t="s">
        <v>2</v>
      </c>
      <c r="N17" s="22" t="s">
        <v>26</v>
      </c>
      <c r="O17" s="24"/>
    </row>
    <row r="18" spans="1:15" ht="20.100000000000001" customHeight="1" thickBot="1">
      <c r="A18" s="9">
        <v>5</v>
      </c>
      <c r="B18" s="20"/>
      <c r="C18" s="17"/>
      <c r="D18" s="2"/>
      <c r="E18" s="12" t="s">
        <v>2</v>
      </c>
      <c r="F18" s="22" t="s">
        <v>32</v>
      </c>
      <c r="G18" s="24"/>
      <c r="H18" s="2"/>
      <c r="I18" s="12" t="s">
        <v>2</v>
      </c>
      <c r="J18" s="22" t="s">
        <v>27</v>
      </c>
      <c r="K18" s="24"/>
      <c r="L18" s="2"/>
      <c r="M18" s="13">
        <v>1</v>
      </c>
      <c r="N18" s="23" t="s">
        <v>40</v>
      </c>
      <c r="O18" s="25"/>
    </row>
    <row r="19" spans="1:15" ht="20.100000000000001" customHeight="1" thickBot="1">
      <c r="A19" s="8" t="s">
        <v>2</v>
      </c>
      <c r="B19" s="19"/>
      <c r="C19" s="16"/>
      <c r="D19" s="2"/>
      <c r="E19" s="13">
        <v>8</v>
      </c>
      <c r="F19" s="23" t="s">
        <v>33</v>
      </c>
      <c r="G19" s="25"/>
      <c r="H19" s="2"/>
      <c r="I19" s="13">
        <v>3</v>
      </c>
      <c r="J19" s="23" t="s">
        <v>29</v>
      </c>
      <c r="K19" s="25"/>
      <c r="L19" s="2"/>
    </row>
    <row r="20" spans="1:15" ht="20.100000000000001" customHeight="1" thickBot="1">
      <c r="A20" s="9">
        <v>6</v>
      </c>
      <c r="B20" s="20"/>
      <c r="C20" s="17"/>
      <c r="D20" s="2"/>
      <c r="E20" s="12" t="s">
        <v>2</v>
      </c>
      <c r="F20" s="22" t="s">
        <v>34</v>
      </c>
      <c r="G20" s="24"/>
      <c r="H20" s="2"/>
      <c r="L20" s="2"/>
    </row>
    <row r="21" spans="1:15" ht="20.100000000000001" customHeight="1" thickBot="1">
      <c r="A21" s="8" t="s">
        <v>2</v>
      </c>
      <c r="B21" s="19"/>
      <c r="C21" s="16"/>
      <c r="D21" s="2"/>
      <c r="E21" s="13">
        <v>2</v>
      </c>
      <c r="F21" s="23" t="s">
        <v>35</v>
      </c>
      <c r="G21" s="25"/>
      <c r="H21" s="2"/>
      <c r="I21" s="2"/>
      <c r="J21" s="7" t="s">
        <v>53</v>
      </c>
      <c r="K21" s="7"/>
      <c r="L21" s="2"/>
      <c r="M21" s="2"/>
      <c r="N21" s="2"/>
      <c r="O21" s="7"/>
    </row>
    <row r="22" spans="1:15" ht="20.100000000000001" customHeight="1" thickBot="1">
      <c r="A22" s="9">
        <v>7</v>
      </c>
      <c r="B22" s="20"/>
      <c r="C22" s="17"/>
      <c r="D22" s="2"/>
      <c r="E22" s="12" t="s">
        <v>2</v>
      </c>
      <c r="F22" s="22" t="s">
        <v>36</v>
      </c>
      <c r="G22" s="24"/>
      <c r="H22" s="2"/>
      <c r="I22" s="14" t="s">
        <v>2</v>
      </c>
      <c r="J22" s="26" t="s">
        <v>32</v>
      </c>
      <c r="K22" s="28"/>
      <c r="L22" s="2"/>
      <c r="M22" s="2"/>
      <c r="N22" s="7" t="s">
        <v>11</v>
      </c>
      <c r="O22" s="7"/>
    </row>
    <row r="23" spans="1:15" ht="20.100000000000001" customHeight="1" thickBot="1">
      <c r="A23" s="8" t="s">
        <v>2</v>
      </c>
      <c r="B23" s="19"/>
      <c r="C23" s="16"/>
      <c r="D23" s="2"/>
      <c r="E23" s="13">
        <v>4</v>
      </c>
      <c r="F23" s="23" t="s">
        <v>37</v>
      </c>
      <c r="G23" s="25"/>
      <c r="H23" s="2"/>
      <c r="I23" s="15">
        <v>4</v>
      </c>
      <c r="J23" s="27" t="s">
        <v>34</v>
      </c>
      <c r="K23" s="29"/>
      <c r="L23" s="2"/>
      <c r="M23" s="14" t="s">
        <v>2</v>
      </c>
      <c r="N23" s="26" t="s">
        <v>27</v>
      </c>
      <c r="O23" s="28"/>
    </row>
    <row r="24" spans="1:15" ht="20.100000000000001" customHeight="1" thickBot="1">
      <c r="A24" s="9">
        <v>8</v>
      </c>
      <c r="B24" s="20"/>
      <c r="C24" s="17"/>
      <c r="D24" s="2"/>
      <c r="E24" s="12" t="s">
        <v>2</v>
      </c>
      <c r="F24" s="22" t="s">
        <v>38</v>
      </c>
      <c r="G24" s="24"/>
      <c r="H24" s="2"/>
      <c r="I24" s="14" t="s">
        <v>2</v>
      </c>
      <c r="J24" s="26" t="s">
        <v>36</v>
      </c>
      <c r="K24" s="28"/>
      <c r="L24" s="2"/>
      <c r="M24" s="15">
        <v>6</v>
      </c>
      <c r="N24" s="27" t="s">
        <v>31</v>
      </c>
      <c r="O24" s="29"/>
    </row>
    <row r="25" spans="1:15" ht="20.100000000000001" customHeight="1" thickBot="1">
      <c r="D25" s="2"/>
      <c r="E25" s="13">
        <v>6</v>
      </c>
      <c r="F25" s="59" t="s">
        <v>39</v>
      </c>
      <c r="G25" s="25"/>
      <c r="H25" s="2"/>
      <c r="I25" s="15">
        <v>8</v>
      </c>
      <c r="J25" s="27" t="s">
        <v>38</v>
      </c>
      <c r="K25" s="29"/>
      <c r="L25" s="2"/>
      <c r="M25" s="2"/>
      <c r="N25" s="2"/>
      <c r="O25" s="7"/>
    </row>
    <row r="26" spans="1:15" ht="20.100000000000001" customHeight="1">
      <c r="A26" s="10"/>
      <c r="B26" s="49" t="s">
        <v>62</v>
      </c>
      <c r="C26" s="10"/>
      <c r="D26" s="2"/>
      <c r="H26" s="2"/>
      <c r="L26" s="2"/>
    </row>
    <row r="27" spans="1:15" ht="20.100000000000001" customHeight="1" thickBot="1">
      <c r="B27" s="50" t="s">
        <v>52</v>
      </c>
      <c r="D27" s="2"/>
      <c r="H27" s="2"/>
      <c r="L27" s="2"/>
    </row>
    <row r="28" spans="1:15" ht="20.100000000000001" customHeight="1">
      <c r="D28" s="2"/>
      <c r="H28" s="2"/>
      <c r="L28" s="2"/>
    </row>
  </sheetData>
  <dataValidations count="1">
    <dataValidation type="list" allowBlank="1" showInputMessage="1" showErrorMessage="1" sqref="B9:B24">
      <formula1>$S$7:$S$22</formula1>
    </dataValidation>
  </dataValidations>
  <pageMargins left="0.16" right="0.14000000000000001" top="0.2" bottom="0.3" header="0.1" footer="0.21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FF00"/>
  </sheetPr>
  <dimension ref="A1:AT38"/>
  <sheetViews>
    <sheetView zoomScale="50" zoomScaleNormal="50" workbookViewId="0">
      <selection activeCell="Y24" sqref="Y24:Y25"/>
    </sheetView>
  </sheetViews>
  <sheetFormatPr baseColWidth="10" defaultRowHeight="15"/>
  <cols>
    <col min="1" max="1" width="6.42578125" style="45" customWidth="1"/>
    <col min="2" max="2" width="30.7109375" style="45" customWidth="1"/>
    <col min="3" max="3" width="20.140625" style="45" customWidth="1"/>
    <col min="4" max="4" width="11.42578125" style="45"/>
    <col min="5" max="5" width="7.7109375" style="45" customWidth="1"/>
    <col min="6" max="6" width="8.5703125" style="45" customWidth="1"/>
    <col min="7" max="7" width="6.7109375" style="45" hidden="1" customWidth="1"/>
    <col min="8" max="8" width="27.85546875" style="45" customWidth="1"/>
    <col min="9" max="9" width="0" style="45" hidden="1" customWidth="1"/>
    <col min="10" max="10" width="8" style="45" customWidth="1"/>
    <col min="11" max="11" width="6.140625" style="45" customWidth="1"/>
    <col min="12" max="12" width="9.85546875" style="45" customWidth="1"/>
    <col min="13" max="13" width="31" style="45" customWidth="1"/>
    <col min="14" max="14" width="9.28515625" style="45" hidden="1" customWidth="1"/>
    <col min="15" max="15" width="9.5703125" style="45" customWidth="1"/>
    <col min="16" max="16" width="7.42578125" style="45" customWidth="1"/>
    <col min="17" max="17" width="8.85546875" style="45" customWidth="1"/>
    <col min="18" max="18" width="28.28515625" style="45" customWidth="1"/>
    <col min="19" max="19" width="8.140625" style="45" hidden="1" customWidth="1"/>
    <col min="20" max="20" width="7.7109375" style="45" customWidth="1"/>
    <col min="21" max="21" width="7.140625" style="45" customWidth="1"/>
    <col min="22" max="22" width="8" style="45" customWidth="1"/>
    <col min="23" max="23" width="30" style="45" customWidth="1"/>
    <col min="24" max="24" width="8.85546875" style="45" hidden="1" customWidth="1"/>
    <col min="25" max="25" width="7.5703125" style="45" customWidth="1"/>
    <col min="26" max="26" width="5.42578125" style="45" customWidth="1"/>
    <col min="27" max="27" width="8.85546875" style="45" hidden="1" customWidth="1"/>
    <col min="28" max="28" width="25.7109375" style="45" hidden="1" customWidth="1"/>
    <col min="29" max="32" width="8.7109375" style="45" hidden="1" customWidth="1"/>
    <col min="33" max="33" width="11" style="45" hidden="1" customWidth="1"/>
    <col min="34" max="34" width="9" style="45" hidden="1" customWidth="1"/>
    <col min="35" max="35" width="11.42578125" style="45" hidden="1" customWidth="1"/>
    <col min="36" max="36" width="11" style="45" customWidth="1"/>
    <col min="37" max="37" width="31.7109375" style="45" customWidth="1"/>
    <col min="38" max="38" width="16.5703125" style="45" customWidth="1"/>
    <col min="39" max="39" width="12.42578125" style="45" customWidth="1"/>
    <col min="40" max="40" width="23.85546875" style="45" customWidth="1"/>
    <col min="41" max="41" width="12.28515625" style="45" customWidth="1"/>
    <col min="42" max="42" width="41.28515625" style="45" customWidth="1"/>
    <col min="43" max="43" width="16.42578125" style="45" customWidth="1"/>
    <col min="44" max="44" width="5" style="45" customWidth="1"/>
    <col min="45" max="45" width="11.42578125" style="45"/>
    <col min="46" max="46" width="28.28515625" style="45" customWidth="1"/>
    <col min="47" max="16384" width="11.42578125" style="45"/>
  </cols>
  <sheetData>
    <row r="1" spans="1:45" s="414" customFormat="1" ht="38.25" customHeight="1" thickBot="1">
      <c r="A1" s="411"/>
      <c r="B1" s="411"/>
      <c r="C1" s="412" t="s">
        <v>0</v>
      </c>
      <c r="D1" s="411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3"/>
      <c r="P1" s="412"/>
      <c r="Q1" s="412"/>
      <c r="R1" s="412" t="s">
        <v>138</v>
      </c>
      <c r="S1" s="412"/>
      <c r="T1" s="412"/>
      <c r="U1" s="412"/>
      <c r="V1" s="412"/>
      <c r="W1" s="412"/>
      <c r="X1" s="413"/>
      <c r="Y1" s="413"/>
      <c r="Z1" s="412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2"/>
      <c r="AO1" s="415"/>
      <c r="AP1" s="415"/>
      <c r="AQ1" s="415"/>
      <c r="AR1" s="415"/>
      <c r="AS1" s="415"/>
    </row>
    <row r="2" spans="1:45" ht="24.95" customHeight="1" thickBot="1">
      <c r="A2" s="44"/>
      <c r="B2" s="357" t="s">
        <v>144</v>
      </c>
      <c r="C2" s="44"/>
      <c r="D2" s="408" t="s">
        <v>44</v>
      </c>
      <c r="E2" s="408"/>
      <c r="F2" s="408"/>
      <c r="G2" s="408"/>
      <c r="H2" s="408"/>
      <c r="I2" s="408"/>
      <c r="J2" s="408"/>
      <c r="K2" s="408" t="s">
        <v>22</v>
      </c>
      <c r="L2" s="408"/>
      <c r="M2" s="44"/>
      <c r="N2" s="44"/>
      <c r="O2" s="113"/>
      <c r="P2" s="44"/>
      <c r="Q2" s="44"/>
      <c r="R2" s="44"/>
      <c r="S2" s="44"/>
      <c r="T2" s="44"/>
      <c r="U2" s="44"/>
      <c r="V2" s="44"/>
      <c r="W2" s="113"/>
      <c r="X2" s="44"/>
      <c r="Y2" s="44"/>
      <c r="Z2" s="44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44"/>
      <c r="AO2" s="161"/>
      <c r="AP2" s="161"/>
      <c r="AQ2" s="161"/>
      <c r="AR2" s="161"/>
      <c r="AS2" s="161"/>
    </row>
    <row r="3" spans="1:45" ht="24.95" customHeight="1" thickBot="1">
      <c r="A3" s="44"/>
      <c r="B3" s="44"/>
      <c r="C3" s="44"/>
      <c r="D3" s="44"/>
      <c r="E3" s="44"/>
      <c r="F3" s="44"/>
      <c r="G3" s="44"/>
      <c r="H3" s="44"/>
      <c r="I3" s="44"/>
      <c r="J3" s="384"/>
      <c r="K3" s="384"/>
      <c r="L3" s="384"/>
      <c r="M3" s="384"/>
      <c r="N3" s="61"/>
      <c r="O3" s="44"/>
      <c r="P3" s="44"/>
      <c r="Q3" s="44"/>
      <c r="R3" s="44"/>
      <c r="S3" s="44"/>
      <c r="T3" s="384"/>
      <c r="U3" s="384"/>
      <c r="V3" s="384"/>
      <c r="W3" s="384"/>
      <c r="X3" s="384"/>
      <c r="Y3" s="44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1"/>
      <c r="AK3" s="199"/>
      <c r="AL3" s="199"/>
      <c r="AM3" s="113"/>
      <c r="AN3" s="161"/>
      <c r="AO3" s="161"/>
      <c r="AP3" s="161"/>
      <c r="AQ3" s="161"/>
      <c r="AR3" s="161"/>
    </row>
    <row r="4" spans="1:45" ht="24.95" customHeight="1" thickBot="1">
      <c r="A4" s="44"/>
      <c r="B4" s="44"/>
      <c r="C4" s="44"/>
      <c r="D4" s="44"/>
      <c r="E4" s="44"/>
      <c r="F4" s="44"/>
      <c r="G4" s="44"/>
      <c r="H4" s="46" t="s">
        <v>3</v>
      </c>
      <c r="I4" s="46"/>
      <c r="J4" s="46"/>
      <c r="K4" s="46"/>
      <c r="L4" s="46"/>
      <c r="M4" s="46" t="s">
        <v>5</v>
      </c>
      <c r="N4" s="140"/>
      <c r="O4" s="46"/>
      <c r="P4" s="46"/>
      <c r="Q4" s="46"/>
      <c r="R4" s="46" t="s">
        <v>229</v>
      </c>
      <c r="S4" s="46"/>
      <c r="T4" s="44"/>
      <c r="U4" s="44"/>
      <c r="V4" s="44"/>
      <c r="W4" s="46" t="s">
        <v>230</v>
      </c>
      <c r="X4" s="46"/>
      <c r="Y4" s="44"/>
      <c r="Z4" s="113"/>
      <c r="AA4" s="113"/>
      <c r="AB4" s="113"/>
      <c r="AC4" s="113"/>
      <c r="AD4" s="113"/>
      <c r="AE4" s="113"/>
      <c r="AF4" s="113"/>
      <c r="AG4" s="113"/>
      <c r="AH4" s="113"/>
      <c r="AI4" s="61"/>
      <c r="AJ4" s="61"/>
      <c r="AK4" s="766" t="s">
        <v>129</v>
      </c>
      <c r="AL4" s="767"/>
      <c r="AM4" s="113"/>
      <c r="AN4" s="161"/>
      <c r="AO4" s="769" t="s">
        <v>113</v>
      </c>
      <c r="AP4" s="770"/>
      <c r="AQ4" s="771"/>
      <c r="AR4"/>
    </row>
    <row r="5" spans="1:45" ht="24.95" customHeight="1" thickBot="1">
      <c r="A5" s="190"/>
      <c r="B5" s="381" t="s">
        <v>103</v>
      </c>
      <c r="C5" s="86" t="s">
        <v>13</v>
      </c>
      <c r="D5" s="86" t="s">
        <v>104</v>
      </c>
      <c r="E5" s="44"/>
      <c r="F5" s="44"/>
      <c r="G5" s="44"/>
      <c r="H5" s="44" t="s">
        <v>4</v>
      </c>
      <c r="I5" s="113" t="s">
        <v>108</v>
      </c>
      <c r="J5" s="44" t="s">
        <v>107</v>
      </c>
      <c r="K5" s="44"/>
      <c r="L5" s="44"/>
      <c r="M5" s="44" t="s">
        <v>6</v>
      </c>
      <c r="N5" s="113" t="s">
        <v>108</v>
      </c>
      <c r="O5" s="44" t="s">
        <v>107</v>
      </c>
      <c r="P5" s="44"/>
      <c r="Q5" s="44"/>
      <c r="R5" s="44" t="s">
        <v>49</v>
      </c>
      <c r="S5" s="44"/>
      <c r="T5" s="44" t="s">
        <v>107</v>
      </c>
      <c r="U5" s="44"/>
      <c r="V5" s="44"/>
      <c r="W5" s="44"/>
      <c r="X5" s="44"/>
      <c r="Y5" s="44"/>
      <c r="Z5" s="113"/>
      <c r="AA5" s="113"/>
      <c r="AB5" s="141" t="s">
        <v>111</v>
      </c>
      <c r="AC5" s="238" t="s">
        <v>189</v>
      </c>
      <c r="AD5" s="238" t="s">
        <v>190</v>
      </c>
      <c r="AE5" s="238" t="s">
        <v>191</v>
      </c>
      <c r="AF5" s="409" t="s">
        <v>227</v>
      </c>
      <c r="AG5" s="141" t="s">
        <v>193</v>
      </c>
      <c r="AH5" s="295" t="s">
        <v>109</v>
      </c>
      <c r="AI5" s="305" t="s">
        <v>110</v>
      </c>
      <c r="AJ5" s="433" t="s">
        <v>238</v>
      </c>
      <c r="AK5" s="366" t="s">
        <v>111</v>
      </c>
      <c r="AL5" s="366" t="s">
        <v>192</v>
      </c>
      <c r="AM5" s="113"/>
      <c r="AN5" s="238" t="s">
        <v>12</v>
      </c>
      <c r="AO5" s="501" t="s">
        <v>56</v>
      </c>
      <c r="AP5" s="239" t="s">
        <v>241</v>
      </c>
      <c r="AQ5" s="239" t="s">
        <v>16</v>
      </c>
      <c r="AR5"/>
    </row>
    <row r="6" spans="1:45" ht="24.95" customHeight="1" thickBot="1">
      <c r="A6" s="87">
        <v>1</v>
      </c>
      <c r="B6" s="555"/>
      <c r="C6" s="556"/>
      <c r="D6" s="89"/>
      <c r="E6" s="44"/>
      <c r="F6" s="573" t="s">
        <v>2</v>
      </c>
      <c r="G6" s="475">
        <v>1</v>
      </c>
      <c r="H6" s="286" t="str">
        <f>IF(ISNA(MATCH(G6,$D$6:$D$25,0)),"",INDEX($B$6:$B$25,MATCH(G6,$D$6:$D$25,0)))</f>
        <v/>
      </c>
      <c r="I6" s="126">
        <f>IF(J6=J7,0,IF(J6&lt;J7,2,4))</f>
        <v>0</v>
      </c>
      <c r="J6" s="576"/>
      <c r="K6" s="44"/>
      <c r="L6" s="613" t="s">
        <v>2</v>
      </c>
      <c r="M6" s="604" t="str">
        <f>IF(J6=J7,"Gagnant du 1",IF(J6&gt;J7,H6,H7))</f>
        <v>Gagnant du 1</v>
      </c>
      <c r="N6" s="441">
        <f>IF(O6=O7,0,IF(O6&lt;O7,0,2))</f>
        <v>0</v>
      </c>
      <c r="O6" s="576"/>
      <c r="P6" s="44"/>
      <c r="Q6" s="723"/>
      <c r="R6" s="620" t="s">
        <v>105</v>
      </c>
      <c r="S6" s="397"/>
      <c r="T6" s="121"/>
      <c r="U6" s="44"/>
      <c r="V6" s="44"/>
      <c r="W6" s="384" t="s">
        <v>9</v>
      </c>
      <c r="X6" s="113" t="s">
        <v>108</v>
      </c>
      <c r="Y6" s="44" t="s">
        <v>107</v>
      </c>
      <c r="Z6" s="113"/>
      <c r="AA6" s="136">
        <v>1</v>
      </c>
      <c r="AB6" s="439">
        <f>+B6</f>
        <v>0</v>
      </c>
      <c r="AC6" s="154" t="str">
        <f>IF(ISNA(VLOOKUP(AB6,$H$6:$I$25,2,0)),"",VLOOKUP(AB6,$H$6:$I$25,2,0))</f>
        <v/>
      </c>
      <c r="AD6" s="211" t="str">
        <f>IF(ISNA(VLOOKUP(AB6,$M$6:$N$27,2,0)),"",VLOOKUP(AB6,$M$6:$N$27,2,0))</f>
        <v/>
      </c>
      <c r="AE6" s="211" t="str">
        <f>IF(ISNA(VLOOKUP(AB6,$R$6:$S$27,3,0)),"",VLOOKUP(AB6,$R$6:$S$27,2,0))</f>
        <v/>
      </c>
      <c r="AF6" s="269" t="str">
        <f>IF(ISNA(VLOOKUP(AB6,$W$7:$X$26,2,0)),"",VLOOKUP(AB6,$W$7:$X$26,2,0))</f>
        <v/>
      </c>
      <c r="AG6" s="368">
        <f>SUM(AC6:AF6)</f>
        <v>0</v>
      </c>
      <c r="AH6" s="299">
        <f>IF(OR(AB6="",AG6=""),"",RANK(AG6,$AG$6:$AG$25)+COUNTIF(AB$6:AB$25,"&lt;="&amp;AB6+1)/10000+ROW()/100000)</f>
        <v>1.00206</v>
      </c>
      <c r="AI6" s="649">
        <f>IF(AB6="","",SMALL(AH$6:AH$25,ROWS(AL$6:AL6)))</f>
        <v>1.00206</v>
      </c>
      <c r="AJ6" s="651">
        <f>IF(AI6="","",1)</f>
        <v>1</v>
      </c>
      <c r="AK6" s="464">
        <f>IF(OR(AB6="",AG6=""),"",INDEX($AB$6:$AB$25,MATCH(AI6,$AH$6:$AH$25,0)))</f>
        <v>0</v>
      </c>
      <c r="AL6" s="467">
        <f>IF(AB6="","",INDEX($AG$6:$AG$25,MATCH(AI6,$AH$6:$AH$25,0)))</f>
        <v>0</v>
      </c>
      <c r="AM6" s="113"/>
      <c r="AN6" s="570" t="s">
        <v>115</v>
      </c>
      <c r="AO6" s="240">
        <v>2</v>
      </c>
      <c r="AP6" s="241" t="s">
        <v>242</v>
      </c>
      <c r="AQ6" s="581">
        <v>10</v>
      </c>
      <c r="AR6"/>
    </row>
    <row r="7" spans="1:45" ht="24.95" customHeight="1" thickBot="1">
      <c r="A7" s="94">
        <v>2</v>
      </c>
      <c r="B7" s="557"/>
      <c r="C7" s="558"/>
      <c r="D7" s="96"/>
      <c r="E7" s="44"/>
      <c r="F7" s="574">
        <v>1</v>
      </c>
      <c r="G7" s="476">
        <v>2</v>
      </c>
      <c r="H7" s="198" t="str">
        <f t="shared" ref="H7:H25" si="0">IF(ISNA(MATCH(G7,$D$6:$D$25,0)),"",INDEX($B$6:$B$25,MATCH(G7,$D$6:$D$25,0)))</f>
        <v/>
      </c>
      <c r="I7" s="130">
        <f>IF(J6=J7,0,IF(J6&gt;J7,2,4))</f>
        <v>0</v>
      </c>
      <c r="J7" s="577"/>
      <c r="K7" s="44"/>
      <c r="L7" s="614">
        <v>3</v>
      </c>
      <c r="M7" s="605" t="str">
        <f>IF(J8=J9,"Gagnant du 2",IF(J8&gt;J9,H8,H9))</f>
        <v>Gagnant du 2</v>
      </c>
      <c r="N7" s="130">
        <f>IF(O6=O7,0,IF(O6&gt;O7,0,2))</f>
        <v>0</v>
      </c>
      <c r="O7" s="577"/>
      <c r="P7" s="44"/>
      <c r="Q7" s="282"/>
      <c r="R7" s="534" t="str">
        <f>IF(O6=O7,"Gagnant du 3",IF(O6&gt;O7,M6,M7))</f>
        <v>Gagnant du 3</v>
      </c>
      <c r="S7" s="398">
        <v>1</v>
      </c>
      <c r="T7" s="122">
        <v>1</v>
      </c>
      <c r="U7" s="44"/>
      <c r="V7" s="613" t="s">
        <v>2</v>
      </c>
      <c r="W7" s="604" t="str">
        <f>IF(T8=T9,"Gagnant du 2",IF(T8&gt;T9,R8,R9))</f>
        <v>Gagnant du 2</v>
      </c>
      <c r="X7" s="177">
        <f>IF(Y7=Y8,0,IF(Y7&lt;Y8,0,2))</f>
        <v>0</v>
      </c>
      <c r="Y7" s="576"/>
      <c r="Z7" s="61"/>
      <c r="AA7" s="137">
        <v>2</v>
      </c>
      <c r="AB7" s="440">
        <f>+B7</f>
        <v>0</v>
      </c>
      <c r="AC7" s="155" t="str">
        <f t="shared" ref="AC7:AC25" si="1">IF(ISNA(VLOOKUP(AB7,$H$6:$I$25,2,0)),"",VLOOKUP(AB7,$H$6:$I$25,2,0))</f>
        <v/>
      </c>
      <c r="AD7" s="210" t="str">
        <f t="shared" ref="AD7:AD25" si="2">IF(ISNA(VLOOKUP(AB7,$M$6:$N$27,2,0)),"",VLOOKUP(AB7,$M$6:$N$27,2,0))</f>
        <v/>
      </c>
      <c r="AE7" s="210" t="str">
        <f t="shared" ref="AE7:AE25" si="3">IF(ISNA(VLOOKUP(AB7,$R$6:$S$27,3,0)),"",VLOOKUP(AB7,$R$6:$S$27,2,0))</f>
        <v/>
      </c>
      <c r="AF7" s="157" t="str">
        <f t="shared" ref="AF7:AF25" si="4">IF(ISNA(VLOOKUP(AB7,$W$7:$X$26,2,0)),"",VLOOKUP(AB7,$W$7:$X$26,2,0))</f>
        <v/>
      </c>
      <c r="AG7" s="347">
        <f t="shared" ref="AG7:AG25" si="5">SUM(AC7:AF7)</f>
        <v>0</v>
      </c>
      <c r="AH7" s="299">
        <f t="shared" ref="AH7:AH25" si="6">IF(OR(AB7="",AG7=""),"",RANK(AG7,$AG$6:$AG$25)+COUNTIF(AB$6:AB$25,"&lt;="&amp;AB7+1)/10000+ROW()/100000)</f>
        <v>1.00207</v>
      </c>
      <c r="AI7" s="649">
        <f>IF(AB7="","",SMALL(AH$6:AH$25,ROWS(AL$6:AL7)))</f>
        <v>1.00207</v>
      </c>
      <c r="AJ7" s="652">
        <f>IF(AI7="","",IF(AND(AL6=AL7),$AJ6,$AJ$6+1))</f>
        <v>1</v>
      </c>
      <c r="AK7" s="465">
        <f t="shared" ref="AK7:AK25" si="7">IF(OR(AB7="",AG7=""),"",INDEX($AB$6:$AB$25,MATCH(AI7,$AH$6:$AH$25,0)))</f>
        <v>0</v>
      </c>
      <c r="AL7" s="468">
        <f t="shared" ref="AL7:AL25" si="8">IF(AB7="","",INDEX($AG$6:$AG$25,MATCH(AI7,$AH$6:$AH$25,0)))</f>
        <v>0</v>
      </c>
      <c r="AM7" s="113"/>
      <c r="AN7" s="580" t="s">
        <v>15</v>
      </c>
      <c r="AO7" s="242">
        <v>2</v>
      </c>
      <c r="AP7" s="243" t="s">
        <v>243</v>
      </c>
      <c r="AQ7" s="582">
        <v>8</v>
      </c>
      <c r="AR7"/>
    </row>
    <row r="8" spans="1:45" ht="24.95" customHeight="1" thickBot="1">
      <c r="A8" s="94">
        <v>3</v>
      </c>
      <c r="B8" s="559"/>
      <c r="C8" s="560"/>
      <c r="D8" s="96"/>
      <c r="E8" s="44"/>
      <c r="F8" s="573" t="s">
        <v>2</v>
      </c>
      <c r="G8" s="475">
        <v>3</v>
      </c>
      <c r="H8" s="202" t="str">
        <f t="shared" si="0"/>
        <v/>
      </c>
      <c r="I8" s="126">
        <f>IF(J8=J9,0,IF(J8&lt;J9,2,4))</f>
        <v>0</v>
      </c>
      <c r="J8" s="578"/>
      <c r="K8" s="384"/>
      <c r="L8" s="613" t="s">
        <v>2</v>
      </c>
      <c r="M8" s="606" t="str">
        <f>IF(J10=J11,"Gagnant du 3",IF(J10&gt;J11,H10,H11))</f>
        <v>Gagnant du 3</v>
      </c>
      <c r="N8" s="172">
        <f>IF(O8=O9,0,IF(O8&lt;O9,0,2))</f>
        <v>0</v>
      </c>
      <c r="O8" s="578"/>
      <c r="P8" s="384"/>
      <c r="Q8" s="575" t="s">
        <v>2</v>
      </c>
      <c r="R8" s="529" t="str">
        <f>IF(O8=O9,"Gagnant du 5",IF(O8&gt;O9,M8,M9))</f>
        <v>Gagnant du 5</v>
      </c>
      <c r="S8" s="172">
        <f>IF(T8=T9,0,IF(T8&lt;T9,0,2))</f>
        <v>0</v>
      </c>
      <c r="T8" s="578"/>
      <c r="U8" s="384"/>
      <c r="V8" s="614">
        <v>4</v>
      </c>
      <c r="W8" s="605" t="str">
        <f>IF(T10=T11,"Gagnant du 6",IF(T10&gt;T11,R10,R11))</f>
        <v>Gagnant du 6</v>
      </c>
      <c r="X8" s="130">
        <f>IF(Y7=Y8,0,IF(Y7&gt;Y8,0,2))</f>
        <v>0</v>
      </c>
      <c r="Y8" s="577"/>
      <c r="Z8" s="61"/>
      <c r="AA8" s="137">
        <v>3</v>
      </c>
      <c r="AB8" s="440">
        <f t="shared" ref="AB8:AB25" si="9">+B8</f>
        <v>0</v>
      </c>
      <c r="AC8" s="155" t="str">
        <f t="shared" si="1"/>
        <v/>
      </c>
      <c r="AD8" s="210" t="str">
        <f t="shared" si="2"/>
        <v/>
      </c>
      <c r="AE8" s="210" t="str">
        <f t="shared" si="3"/>
        <v/>
      </c>
      <c r="AF8" s="157" t="str">
        <f t="shared" si="4"/>
        <v/>
      </c>
      <c r="AG8" s="347">
        <f t="shared" si="5"/>
        <v>0</v>
      </c>
      <c r="AH8" s="299">
        <f t="shared" si="6"/>
        <v>1.0020800000000001</v>
      </c>
      <c r="AI8" s="649">
        <f>IF(AB8="","",SMALL(AH$6:AH$25,ROWS(AL$6:AL8)))</f>
        <v>1.0020800000000001</v>
      </c>
      <c r="AJ8" s="652">
        <f>IF(AI8="","",IF(AND(AL7=AL8),$AJ7,$AJ$6+2))</f>
        <v>1</v>
      </c>
      <c r="AK8" s="465">
        <f t="shared" si="7"/>
        <v>0</v>
      </c>
      <c r="AL8" s="468">
        <f t="shared" si="8"/>
        <v>0</v>
      </c>
      <c r="AM8" s="61"/>
      <c r="AN8" s="580" t="s">
        <v>114</v>
      </c>
      <c r="AO8" s="242">
        <v>2</v>
      </c>
      <c r="AP8" s="675" t="s">
        <v>258</v>
      </c>
      <c r="AQ8" s="582">
        <v>7</v>
      </c>
      <c r="AR8"/>
    </row>
    <row r="9" spans="1:45" ht="24.95" customHeight="1" thickBot="1">
      <c r="A9" s="94">
        <v>4</v>
      </c>
      <c r="B9" s="557"/>
      <c r="C9" s="558"/>
      <c r="D9" s="96"/>
      <c r="E9" s="44"/>
      <c r="F9" s="574">
        <v>2</v>
      </c>
      <c r="G9" s="476">
        <v>4</v>
      </c>
      <c r="H9" s="203" t="str">
        <f t="shared" si="0"/>
        <v/>
      </c>
      <c r="I9" s="130">
        <f>IF(J8=J9,0,IF(J8&gt;J9,2,4))</f>
        <v>0</v>
      </c>
      <c r="J9" s="579"/>
      <c r="K9" s="44"/>
      <c r="L9" s="614">
        <v>5</v>
      </c>
      <c r="M9" s="607" t="str">
        <f>IF(J12=J13,"Gagnant du 4",IF(J12&gt;J13,H12,H13))</f>
        <v>Gagnant du 4</v>
      </c>
      <c r="N9" s="130">
        <f>IF(O8=O9,0,IF(O8&gt;O9,0,2))</f>
        <v>0</v>
      </c>
      <c r="O9" s="579"/>
      <c r="P9" s="44"/>
      <c r="Q9" s="572">
        <v>2</v>
      </c>
      <c r="R9" s="530" t="str">
        <f>IF(O10=O11,"Gagnant du 7",IF(O10&gt;O11,M10,M11))</f>
        <v>Gagnant du 7</v>
      </c>
      <c r="S9" s="130">
        <f>IF(T8=T9,0,IF(T8&gt;T9,0,2))</f>
        <v>0</v>
      </c>
      <c r="T9" s="579"/>
      <c r="U9" s="44"/>
      <c r="V9" s="44"/>
      <c r="W9" s="131"/>
      <c r="X9" s="131"/>
      <c r="Y9" s="44"/>
      <c r="Z9" s="113"/>
      <c r="AA9" s="137">
        <v>4</v>
      </c>
      <c r="AB9" s="440">
        <f t="shared" si="9"/>
        <v>0</v>
      </c>
      <c r="AC9" s="155" t="str">
        <f t="shared" si="1"/>
        <v/>
      </c>
      <c r="AD9" s="210" t="str">
        <f t="shared" si="2"/>
        <v/>
      </c>
      <c r="AE9" s="210" t="str">
        <f t="shared" si="3"/>
        <v/>
      </c>
      <c r="AF9" s="157" t="str">
        <f t="shared" si="4"/>
        <v/>
      </c>
      <c r="AG9" s="347">
        <f t="shared" si="5"/>
        <v>0</v>
      </c>
      <c r="AH9" s="299">
        <f t="shared" si="6"/>
        <v>1.0020899999999999</v>
      </c>
      <c r="AI9" s="649">
        <f>IF(AB9="","",SMALL(AH$6:AH$25,ROWS(AL$6:AL9)))</f>
        <v>1.0020899999999999</v>
      </c>
      <c r="AJ9" s="652">
        <f>IF(AI9="","",IF(AND(AL8=AL9),$AJ8,$AJ$6+3))</f>
        <v>1</v>
      </c>
      <c r="AK9" s="465">
        <f t="shared" si="7"/>
        <v>0</v>
      </c>
      <c r="AL9" s="468">
        <f t="shared" si="8"/>
        <v>0</v>
      </c>
      <c r="AM9" s="61"/>
      <c r="AN9" s="580" t="s">
        <v>114</v>
      </c>
      <c r="AO9" s="242">
        <v>2</v>
      </c>
      <c r="AP9" s="243" t="s">
        <v>263</v>
      </c>
      <c r="AQ9" s="582">
        <v>6</v>
      </c>
      <c r="AR9"/>
    </row>
    <row r="10" spans="1:45" ht="24.95" customHeight="1" thickBot="1">
      <c r="A10" s="94">
        <v>5</v>
      </c>
      <c r="B10" s="559"/>
      <c r="C10" s="560"/>
      <c r="D10" s="96"/>
      <c r="E10" s="44"/>
      <c r="F10" s="573" t="s">
        <v>2</v>
      </c>
      <c r="G10" s="475">
        <v>5</v>
      </c>
      <c r="H10" s="286" t="str">
        <f>IF(ISNA(MATCH(G10,$D$6:$D$25,0)),"",INDEX($B$6:$B$25,MATCH(G10,$D$6:$D$25,0)))</f>
        <v/>
      </c>
      <c r="I10" s="126">
        <f>IF(J10=J11,0,IF(J10&lt;J11,2,4))</f>
        <v>0</v>
      </c>
      <c r="J10" s="576"/>
      <c r="K10" s="44"/>
      <c r="L10" s="613" t="s">
        <v>2</v>
      </c>
      <c r="M10" s="608" t="str">
        <f>IF(J14=J15,"Gagnant du 5",IF(J14&gt;J15,H14,H15))</f>
        <v>Gagnant du 5</v>
      </c>
      <c r="N10" s="441">
        <f>IF(O10=O11,0,IF(O10&lt;O11,0,2))</f>
        <v>0</v>
      </c>
      <c r="O10" s="576"/>
      <c r="P10" s="44"/>
      <c r="Q10" s="570" t="s">
        <v>2</v>
      </c>
      <c r="R10" s="528" t="str">
        <f>IF(O12=O13,"Gagnant du 1",IF(O12&gt;O13,M12,M13))</f>
        <v>Gagnant du 1</v>
      </c>
      <c r="S10" s="172">
        <f>IF(T10=T11,0,IF(T10&lt;T11,0,2))</f>
        <v>0</v>
      </c>
      <c r="T10" s="576"/>
      <c r="U10" s="44"/>
      <c r="V10" s="44"/>
      <c r="W10" s="131"/>
      <c r="X10" s="131"/>
      <c r="Y10" s="44"/>
      <c r="Z10" s="113"/>
      <c r="AA10" s="137">
        <v>5</v>
      </c>
      <c r="AB10" s="440">
        <f t="shared" si="9"/>
        <v>0</v>
      </c>
      <c r="AC10" s="155" t="str">
        <f t="shared" si="1"/>
        <v/>
      </c>
      <c r="AD10" s="210" t="str">
        <f t="shared" si="2"/>
        <v/>
      </c>
      <c r="AE10" s="210" t="str">
        <f t="shared" si="3"/>
        <v/>
      </c>
      <c r="AF10" s="157" t="str">
        <f t="shared" si="4"/>
        <v/>
      </c>
      <c r="AG10" s="347">
        <f t="shared" si="5"/>
        <v>0</v>
      </c>
      <c r="AH10" s="299">
        <f t="shared" si="6"/>
        <v>1.0021</v>
      </c>
      <c r="AI10" s="649">
        <f>IF(AB10="","",SMALL(AH$6:AH$25,ROWS(AL$6:AL10)))</f>
        <v>1.0021</v>
      </c>
      <c r="AJ10" s="652">
        <f>IF(AI10="","",IF(AND(AL9=AL10),$AJ9,$AJ$6+4))</f>
        <v>1</v>
      </c>
      <c r="AK10" s="465">
        <f t="shared" si="7"/>
        <v>0</v>
      </c>
      <c r="AL10" s="468">
        <f t="shared" si="8"/>
        <v>0</v>
      </c>
      <c r="AM10" s="113"/>
      <c r="AN10" s="580" t="s">
        <v>114</v>
      </c>
      <c r="AO10" s="250">
        <v>2</v>
      </c>
      <c r="AP10" s="247" t="s">
        <v>263</v>
      </c>
      <c r="AQ10" s="583">
        <v>6</v>
      </c>
      <c r="AR10"/>
    </row>
    <row r="11" spans="1:45" ht="24.95" customHeight="1" thickBot="1">
      <c r="A11" s="94">
        <v>6</v>
      </c>
      <c r="B11" s="557"/>
      <c r="C11" s="558"/>
      <c r="D11" s="96"/>
      <c r="E11" s="44"/>
      <c r="F11" s="574">
        <v>3</v>
      </c>
      <c r="G11" s="476">
        <v>6</v>
      </c>
      <c r="H11" s="198" t="str">
        <f t="shared" si="0"/>
        <v/>
      </c>
      <c r="I11" s="130">
        <f>IF(J10=J11,0,IF(J10&gt;J11,2,4))</f>
        <v>0</v>
      </c>
      <c r="J11" s="577"/>
      <c r="K11" s="384"/>
      <c r="L11" s="614">
        <v>7</v>
      </c>
      <c r="M11" s="605" t="str">
        <f>IF(J16=J17,"Gagnant du 6",IF(J16&gt;J17,H16,H17))</f>
        <v>Gagnant du 6</v>
      </c>
      <c r="N11" s="130">
        <f>IF(O10=O11,0,IF(O10&gt;O11,0,2))</f>
        <v>0</v>
      </c>
      <c r="O11" s="577"/>
      <c r="P11" s="384"/>
      <c r="Q11" s="571">
        <v>6</v>
      </c>
      <c r="R11" s="520" t="str">
        <f>IF(O14=O15,"Gagnant du 9",IF(O14&gt;O15,M14,M15))</f>
        <v>Gagnant du 9</v>
      </c>
      <c r="S11" s="130">
        <f>IF(T10=T11,0,IF(T10&gt;T11,0,2))</f>
        <v>0</v>
      </c>
      <c r="T11" s="577"/>
      <c r="U11" s="384"/>
      <c r="W11" s="533"/>
      <c r="X11" s="143"/>
      <c r="Z11" s="61"/>
      <c r="AA11" s="137">
        <v>6</v>
      </c>
      <c r="AB11" s="440">
        <f t="shared" si="9"/>
        <v>0</v>
      </c>
      <c r="AC11" s="155" t="str">
        <f t="shared" si="1"/>
        <v/>
      </c>
      <c r="AD11" s="210" t="str">
        <f t="shared" si="2"/>
        <v/>
      </c>
      <c r="AE11" s="210" t="str">
        <f t="shared" si="3"/>
        <v/>
      </c>
      <c r="AF11" s="157" t="str">
        <f t="shared" si="4"/>
        <v/>
      </c>
      <c r="AG11" s="347">
        <f t="shared" si="5"/>
        <v>0</v>
      </c>
      <c r="AH11" s="299">
        <f t="shared" si="6"/>
        <v>1.0021100000000001</v>
      </c>
      <c r="AI11" s="649">
        <f>IF(AB11="","",SMALL(AH$6:AH$25,ROWS(AL$6:AL11)))</f>
        <v>1.0021100000000001</v>
      </c>
      <c r="AJ11" s="652">
        <f>IF(AI11="","",IF(AND(AL10=AL11),$AJ10,$AJ$6+5))</f>
        <v>1</v>
      </c>
      <c r="AK11" s="465">
        <f t="shared" si="7"/>
        <v>0</v>
      </c>
      <c r="AL11" s="468">
        <f t="shared" si="8"/>
        <v>0</v>
      </c>
      <c r="AM11" s="113"/>
      <c r="AN11" s="483" t="s">
        <v>118</v>
      </c>
      <c r="AO11" s="240">
        <v>2</v>
      </c>
      <c r="AP11" s="245" t="s">
        <v>247</v>
      </c>
      <c r="AQ11" s="543">
        <v>6</v>
      </c>
      <c r="AR11"/>
    </row>
    <row r="12" spans="1:45" ht="24.95" customHeight="1">
      <c r="A12" s="94">
        <v>7</v>
      </c>
      <c r="B12" s="559"/>
      <c r="C12" s="560"/>
      <c r="D12" s="96"/>
      <c r="E12" s="44"/>
      <c r="F12" s="573" t="s">
        <v>2</v>
      </c>
      <c r="G12" s="475">
        <v>7</v>
      </c>
      <c r="H12" s="202" t="str">
        <f t="shared" si="0"/>
        <v/>
      </c>
      <c r="I12" s="126">
        <f>IF(J12=J13,0,IF(J12&lt;J13,2,4))</f>
        <v>0</v>
      </c>
      <c r="J12" s="578"/>
      <c r="K12" s="44"/>
      <c r="L12" s="613" t="s">
        <v>2</v>
      </c>
      <c r="M12" s="606" t="str">
        <f>IF(J18=J19,"Gagnant du 7",IF(J18&gt;J19,H18,H19))</f>
        <v>Gagnant du 7</v>
      </c>
      <c r="N12" s="172">
        <f>IF(O12=O13,0,IF(O12&lt;O13,0,2))</f>
        <v>0</v>
      </c>
      <c r="O12" s="578"/>
      <c r="P12" s="44"/>
      <c r="Q12" s="44"/>
      <c r="R12" s="612" t="s">
        <v>148</v>
      </c>
      <c r="S12" s="131"/>
      <c r="T12" s="44"/>
      <c r="U12" s="44"/>
      <c r="W12" s="533"/>
      <c r="X12" s="143"/>
      <c r="Z12" s="113"/>
      <c r="AA12" s="137">
        <v>7</v>
      </c>
      <c r="AB12" s="440">
        <f t="shared" si="9"/>
        <v>0</v>
      </c>
      <c r="AC12" s="155" t="str">
        <f t="shared" si="1"/>
        <v/>
      </c>
      <c r="AD12" s="210" t="str">
        <f t="shared" si="2"/>
        <v/>
      </c>
      <c r="AE12" s="210" t="str">
        <f t="shared" si="3"/>
        <v/>
      </c>
      <c r="AF12" s="157" t="str">
        <f t="shared" si="4"/>
        <v/>
      </c>
      <c r="AG12" s="347">
        <f t="shared" si="5"/>
        <v>0</v>
      </c>
      <c r="AH12" s="299">
        <f t="shared" si="6"/>
        <v>1.0021199999999999</v>
      </c>
      <c r="AI12" s="649">
        <f>IF(AB12="","",SMALL(AH$6:AH$25,ROWS(AL$6:AL12)))</f>
        <v>1.0021199999999999</v>
      </c>
      <c r="AJ12" s="652">
        <f>IF(AI12="","",IF(AND(AL11=AL12),$AJ11,$AJ$6+6))</f>
        <v>1</v>
      </c>
      <c r="AK12" s="465">
        <f t="shared" si="7"/>
        <v>0</v>
      </c>
      <c r="AL12" s="468">
        <f t="shared" si="8"/>
        <v>0</v>
      </c>
      <c r="AM12" s="61"/>
      <c r="AN12" s="487" t="s">
        <v>20</v>
      </c>
      <c r="AO12" s="242">
        <v>2</v>
      </c>
      <c r="AP12" s="243" t="s">
        <v>248</v>
      </c>
      <c r="AQ12" s="544">
        <v>5</v>
      </c>
      <c r="AR12"/>
    </row>
    <row r="13" spans="1:45" ht="24.95" customHeight="1" thickBot="1">
      <c r="A13" s="94">
        <v>8</v>
      </c>
      <c r="B13" s="557"/>
      <c r="C13" s="558"/>
      <c r="D13" s="96"/>
      <c r="E13" s="44"/>
      <c r="F13" s="574">
        <v>4</v>
      </c>
      <c r="G13" s="476">
        <v>8</v>
      </c>
      <c r="H13" s="203" t="str">
        <f t="shared" si="0"/>
        <v/>
      </c>
      <c r="I13" s="130">
        <f>IF(J12=J13,0,IF(J12&gt;J13,2,4))</f>
        <v>0</v>
      </c>
      <c r="J13" s="579"/>
      <c r="K13" s="44"/>
      <c r="L13" s="615">
        <v>1</v>
      </c>
      <c r="M13" s="607" t="str">
        <f>IF(J20=J21,"Gagnant du 8",IF(J20&gt;J21,H20,H21))</f>
        <v>Gagnant du 8</v>
      </c>
      <c r="N13" s="130">
        <f>IF(O12=O13,0,IF(O12&gt;O13,0,2))</f>
        <v>0</v>
      </c>
      <c r="O13" s="579"/>
      <c r="P13" s="44"/>
      <c r="Q13" s="44"/>
      <c r="R13" s="147" t="s">
        <v>51</v>
      </c>
      <c r="S13" s="131"/>
      <c r="T13" s="44"/>
      <c r="U13" s="44"/>
      <c r="W13" s="533"/>
      <c r="X13" s="143"/>
      <c r="Z13" s="61"/>
      <c r="AA13" s="137">
        <v>8</v>
      </c>
      <c r="AB13" s="440">
        <f t="shared" si="9"/>
        <v>0</v>
      </c>
      <c r="AC13" s="155" t="str">
        <f t="shared" si="1"/>
        <v/>
      </c>
      <c r="AD13" s="210" t="str">
        <f t="shared" si="2"/>
        <v/>
      </c>
      <c r="AE13" s="210" t="str">
        <f t="shared" si="3"/>
        <v/>
      </c>
      <c r="AF13" s="157" t="str">
        <f t="shared" si="4"/>
        <v/>
      </c>
      <c r="AG13" s="347">
        <f t="shared" si="5"/>
        <v>0</v>
      </c>
      <c r="AH13" s="299">
        <f t="shared" si="6"/>
        <v>1.00213</v>
      </c>
      <c r="AI13" s="649">
        <f>IF(AB13="","",SMALL(AH$6:AH$25,ROWS(AL$6:AL13)))</f>
        <v>1.00213</v>
      </c>
      <c r="AJ13" s="652">
        <f>IF(AI13="","",IF(AND(AL12=AL13),$AJ12,$AJ$6+7))</f>
        <v>1</v>
      </c>
      <c r="AK13" s="465">
        <f t="shared" si="7"/>
        <v>0</v>
      </c>
      <c r="AL13" s="468">
        <f t="shared" si="8"/>
        <v>0</v>
      </c>
      <c r="AM13" s="61"/>
      <c r="AN13" s="487" t="s">
        <v>65</v>
      </c>
      <c r="AO13" s="242">
        <v>2</v>
      </c>
      <c r="AP13" s="675" t="s">
        <v>274</v>
      </c>
      <c r="AQ13" s="544">
        <v>4.5</v>
      </c>
      <c r="AR13"/>
    </row>
    <row r="14" spans="1:45" ht="24.95" customHeight="1">
      <c r="A14" s="94">
        <v>9</v>
      </c>
      <c r="B14" s="559"/>
      <c r="C14" s="560"/>
      <c r="D14" s="96"/>
      <c r="E14" s="44"/>
      <c r="F14" s="573" t="s">
        <v>2</v>
      </c>
      <c r="G14" s="475">
        <v>9</v>
      </c>
      <c r="H14" s="182" t="str">
        <f t="shared" si="0"/>
        <v/>
      </c>
      <c r="I14" s="126">
        <f>IF(J14=J15,0,IF(J14&lt;J15,2,4))</f>
        <v>0</v>
      </c>
      <c r="J14" s="576"/>
      <c r="K14" s="44"/>
      <c r="L14" s="613" t="s">
        <v>2</v>
      </c>
      <c r="M14" s="608" t="str">
        <f>IF(J22=J23,"Gagnant du 9",IF(J22&gt;J23,H22,H23))</f>
        <v>Gagnant du 9</v>
      </c>
      <c r="N14" s="172">
        <f>IF(O14=O15,0,IF(O14&lt;O15,0,2))</f>
        <v>0</v>
      </c>
      <c r="O14" s="576"/>
      <c r="P14" s="44"/>
      <c r="Q14" s="522" t="s">
        <v>2</v>
      </c>
      <c r="R14" s="528" t="str">
        <f>IF(O20=O21,"Gagnant du 2",IF(O20&gt;O21,M20,M21))</f>
        <v>Gagnant du 2</v>
      </c>
      <c r="S14" s="177">
        <f>IF(T14=T15,0,IF(T14&lt;T15,0,1))</f>
        <v>0</v>
      </c>
      <c r="T14" s="631"/>
      <c r="U14" s="44"/>
      <c r="W14" s="533"/>
      <c r="X14" s="143"/>
      <c r="Z14" s="61"/>
      <c r="AA14" s="137">
        <v>9</v>
      </c>
      <c r="AB14" s="440">
        <f t="shared" si="9"/>
        <v>0</v>
      </c>
      <c r="AC14" s="155" t="str">
        <f t="shared" si="1"/>
        <v/>
      </c>
      <c r="AD14" s="210" t="str">
        <f t="shared" si="2"/>
        <v/>
      </c>
      <c r="AE14" s="210" t="str">
        <f t="shared" si="3"/>
        <v/>
      </c>
      <c r="AF14" s="157" t="str">
        <f t="shared" si="4"/>
        <v/>
      </c>
      <c r="AG14" s="347">
        <f t="shared" si="5"/>
        <v>0</v>
      </c>
      <c r="AH14" s="299">
        <f t="shared" si="6"/>
        <v>1.00214</v>
      </c>
      <c r="AI14" s="649">
        <f>IF(AB14="","",SMALL(AH$6:AH$25,ROWS(AL$6:AL14)))</f>
        <v>1.00214</v>
      </c>
      <c r="AJ14" s="652">
        <f>IF(AI14="","",IF(AND(AL13=AL14),$AJ13,$AJ$6+8))</f>
        <v>1</v>
      </c>
      <c r="AK14" s="465">
        <f t="shared" si="7"/>
        <v>0</v>
      </c>
      <c r="AL14" s="468">
        <f t="shared" si="8"/>
        <v>0</v>
      </c>
      <c r="AM14" s="113"/>
      <c r="AN14" s="487" t="s">
        <v>65</v>
      </c>
      <c r="AO14" s="242">
        <v>2</v>
      </c>
      <c r="AP14" s="243" t="s">
        <v>245</v>
      </c>
      <c r="AQ14" s="544">
        <v>4</v>
      </c>
      <c r="AR14"/>
    </row>
    <row r="15" spans="1:45" ht="24.95" customHeight="1" thickBot="1">
      <c r="A15" s="94">
        <v>10</v>
      </c>
      <c r="B15" s="557"/>
      <c r="C15" s="558"/>
      <c r="D15" s="96"/>
      <c r="E15" s="44"/>
      <c r="F15" s="574">
        <v>5</v>
      </c>
      <c r="G15" s="476">
        <v>10</v>
      </c>
      <c r="H15" s="198" t="str">
        <f t="shared" si="0"/>
        <v/>
      </c>
      <c r="I15" s="130">
        <f>IF(J14=J15,0,IF(J14&gt;J15,2,4))</f>
        <v>0</v>
      </c>
      <c r="J15" s="577"/>
      <c r="K15" s="44"/>
      <c r="L15" s="614">
        <v>9</v>
      </c>
      <c r="M15" s="605" t="str">
        <f>IF(J24=J25,"Gagnant du 10",IF(J24&gt;J25,H24,H25))</f>
        <v>Gagnant du 10</v>
      </c>
      <c r="N15" s="130">
        <f>IF(O14=O15,0,IF(O14&gt;O15,0,2))</f>
        <v>0</v>
      </c>
      <c r="O15" s="577"/>
      <c r="P15" s="44"/>
      <c r="Q15" s="524">
        <v>5</v>
      </c>
      <c r="R15" s="531" t="str">
        <f>IF(O26=O27,"Gagnant du 10",IF(O26&gt;O27,M26,M27))</f>
        <v>Gagnant du 10</v>
      </c>
      <c r="S15" s="178">
        <f>IF(T14=T15,0,IF(T14&gt;T15,0,1))</f>
        <v>0</v>
      </c>
      <c r="T15" s="632"/>
      <c r="U15" s="44"/>
      <c r="V15" s="44"/>
      <c r="W15" s="147" t="s">
        <v>10</v>
      </c>
      <c r="X15" s="131"/>
      <c r="Y15" s="44"/>
      <c r="Z15" s="113"/>
      <c r="AA15" s="137">
        <v>10</v>
      </c>
      <c r="AB15" s="440">
        <f t="shared" si="9"/>
        <v>0</v>
      </c>
      <c r="AC15" s="155" t="str">
        <f t="shared" si="1"/>
        <v/>
      </c>
      <c r="AD15" s="210" t="str">
        <f t="shared" si="2"/>
        <v/>
      </c>
      <c r="AE15" s="210" t="str">
        <f t="shared" si="3"/>
        <v/>
      </c>
      <c r="AF15" s="157" t="str">
        <f t="shared" si="4"/>
        <v/>
      </c>
      <c r="AG15" s="347">
        <f t="shared" si="5"/>
        <v>0</v>
      </c>
      <c r="AH15" s="299">
        <f t="shared" si="6"/>
        <v>1.0021500000000001</v>
      </c>
      <c r="AI15" s="649">
        <f>IF(AB15="","",SMALL(AH$6:AH$25,ROWS(AL$6:AL15)))</f>
        <v>1.0021500000000001</v>
      </c>
      <c r="AJ15" s="652">
        <f>IF(AI15="","",IF(AND(AL14=AL15),$AJ14,$AJ$6+9))</f>
        <v>1</v>
      </c>
      <c r="AK15" s="465">
        <f t="shared" si="7"/>
        <v>0</v>
      </c>
      <c r="AL15" s="468">
        <f t="shared" si="8"/>
        <v>0</v>
      </c>
      <c r="AM15" s="113"/>
      <c r="AN15" s="488" t="s">
        <v>65</v>
      </c>
      <c r="AO15" s="262">
        <v>2</v>
      </c>
      <c r="AP15" s="247" t="s">
        <v>245</v>
      </c>
      <c r="AQ15" s="544">
        <v>4</v>
      </c>
      <c r="AR15"/>
    </row>
    <row r="16" spans="1:45" ht="24.95" customHeight="1">
      <c r="A16" s="94">
        <v>11</v>
      </c>
      <c r="B16" s="559"/>
      <c r="C16" s="560"/>
      <c r="D16" s="96"/>
      <c r="E16" s="44"/>
      <c r="F16" s="573" t="s">
        <v>2</v>
      </c>
      <c r="G16" s="475">
        <v>11</v>
      </c>
      <c r="H16" s="202" t="str">
        <f t="shared" si="0"/>
        <v/>
      </c>
      <c r="I16" s="126">
        <f>IF(J16=J17,0,IF(J16&lt;J17,2,4))</f>
        <v>0</v>
      </c>
      <c r="J16" s="578"/>
      <c r="K16" s="44"/>
      <c r="M16" s="533"/>
      <c r="N16" s="143"/>
      <c r="P16" s="44"/>
      <c r="Q16" s="536" t="s">
        <v>2</v>
      </c>
      <c r="R16" s="521" t="str">
        <f>IF(O22=O23,"Gagnant du 4",IF(O22&gt;O23,M22,M23))</f>
        <v>Gagnant du 4</v>
      </c>
      <c r="S16" s="172">
        <f>IF(T16=T17,0,IF(T16&lt;T17,0,1))</f>
        <v>0</v>
      </c>
      <c r="T16" s="635"/>
      <c r="U16" s="44"/>
      <c r="V16" s="616" t="s">
        <v>2</v>
      </c>
      <c r="W16" s="608" t="str">
        <f>IF(T16=T17,"Gagnant du 3",IF(T16&gt;T17,R16,R17))</f>
        <v>Gagnant du 3</v>
      </c>
      <c r="X16" s="177">
        <f>IF(Y16=Y17,0,IF(Y16&lt;Y17,0,1))</f>
        <v>0</v>
      </c>
      <c r="Y16" s="631"/>
      <c r="Z16" s="113"/>
      <c r="AA16" s="137">
        <v>11</v>
      </c>
      <c r="AB16" s="440">
        <f t="shared" si="9"/>
        <v>0</v>
      </c>
      <c r="AC16" s="155" t="str">
        <f t="shared" si="1"/>
        <v/>
      </c>
      <c r="AD16" s="210" t="str">
        <f t="shared" si="2"/>
        <v/>
      </c>
      <c r="AE16" s="210" t="str">
        <f t="shared" si="3"/>
        <v/>
      </c>
      <c r="AF16" s="157" t="str">
        <f t="shared" si="4"/>
        <v/>
      </c>
      <c r="AG16" s="347">
        <f t="shared" si="5"/>
        <v>0</v>
      </c>
      <c r="AH16" s="299">
        <f t="shared" si="6"/>
        <v>1.0021599999999999</v>
      </c>
      <c r="AI16" s="649">
        <f>IF(AB16="","",SMALL(AH$6:AH$25,ROWS(AL$6:AL16)))</f>
        <v>1.0021599999999999</v>
      </c>
      <c r="AJ16" s="652">
        <f>IF(AI16="","",IF(AND(AL15=AL16),$AJ15,$AJ$6+10))</f>
        <v>1</v>
      </c>
      <c r="AK16" s="465">
        <f t="shared" si="7"/>
        <v>0</v>
      </c>
      <c r="AL16" s="468">
        <f t="shared" si="8"/>
        <v>0</v>
      </c>
      <c r="AM16" s="113"/>
      <c r="AN16" s="546" t="s">
        <v>117</v>
      </c>
      <c r="AO16" s="240">
        <v>2</v>
      </c>
      <c r="AP16" s="245" t="s">
        <v>249</v>
      </c>
      <c r="AQ16" s="550">
        <v>5</v>
      </c>
      <c r="AR16"/>
    </row>
    <row r="17" spans="1:46" ht="24.95" customHeight="1" thickBot="1">
      <c r="A17" s="94">
        <v>12</v>
      </c>
      <c r="B17" s="557"/>
      <c r="C17" s="558"/>
      <c r="D17" s="96"/>
      <c r="E17" s="44"/>
      <c r="F17" s="574">
        <v>6</v>
      </c>
      <c r="G17" s="476">
        <v>12</v>
      </c>
      <c r="H17" s="203" t="str">
        <f t="shared" si="0"/>
        <v/>
      </c>
      <c r="I17" s="130">
        <f>IF(J16=J17,0,IF(J16&gt;J17,2,4))</f>
        <v>0</v>
      </c>
      <c r="J17" s="579"/>
      <c r="K17" s="44"/>
      <c r="L17" s="44"/>
      <c r="M17" s="147" t="s">
        <v>7</v>
      </c>
      <c r="N17" s="147"/>
      <c r="O17" s="44"/>
      <c r="P17" s="44"/>
      <c r="Q17" s="526">
        <v>3</v>
      </c>
      <c r="R17" s="530" t="str">
        <f>IF(O24=O25,"Gagnant du 6",IF(O24&gt;O25,M24,M25))</f>
        <v>Gagnant du 6</v>
      </c>
      <c r="S17" s="396">
        <f>IF(T16=T17,0,IF(T16&gt;T17,0,1))</f>
        <v>0</v>
      </c>
      <c r="T17" s="634"/>
      <c r="U17" s="44"/>
      <c r="V17" s="617">
        <v>6</v>
      </c>
      <c r="W17" s="605" t="str">
        <f>IF(T14=T15,"Gagnant du 5",IF(T14&gt;T15,R14,R19))</f>
        <v>Gagnant du 5</v>
      </c>
      <c r="X17" s="178">
        <f>IF(Y16=Y17,0,IF(Y16&gt;Y17,0,1))</f>
        <v>0</v>
      </c>
      <c r="Y17" s="632"/>
      <c r="Z17" s="113"/>
      <c r="AA17" s="137">
        <v>12</v>
      </c>
      <c r="AB17" s="440">
        <f t="shared" si="9"/>
        <v>0</v>
      </c>
      <c r="AC17" s="155" t="str">
        <f t="shared" si="1"/>
        <v/>
      </c>
      <c r="AD17" s="210" t="str">
        <f t="shared" si="2"/>
        <v/>
      </c>
      <c r="AE17" s="210" t="str">
        <f t="shared" si="3"/>
        <v/>
      </c>
      <c r="AF17" s="157" t="str">
        <f t="shared" si="4"/>
        <v/>
      </c>
      <c r="AG17" s="347">
        <f t="shared" si="5"/>
        <v>0</v>
      </c>
      <c r="AH17" s="299">
        <f t="shared" si="6"/>
        <v>1.00217</v>
      </c>
      <c r="AI17" s="649">
        <f>IF(AB17="","",SMALL(AH$6:AH$25,ROWS(AL$6:AL17)))</f>
        <v>1.00217</v>
      </c>
      <c r="AJ17" s="652">
        <f>IF(AI17="","",IF(AND(AL16=AL17),$AJ16,$AJ$6+11))</f>
        <v>1</v>
      </c>
      <c r="AK17" s="465">
        <f t="shared" si="7"/>
        <v>0</v>
      </c>
      <c r="AL17" s="468">
        <f t="shared" si="8"/>
        <v>0</v>
      </c>
      <c r="AM17" s="61"/>
      <c r="AN17" s="547" t="s">
        <v>18</v>
      </c>
      <c r="AO17" s="242">
        <v>2</v>
      </c>
      <c r="AP17" s="243" t="s">
        <v>250</v>
      </c>
      <c r="AQ17" s="551">
        <v>4</v>
      </c>
      <c r="AR17"/>
    </row>
    <row r="18" spans="1:46" ht="24.95" customHeight="1">
      <c r="A18" s="94">
        <v>13</v>
      </c>
      <c r="B18" s="559"/>
      <c r="C18" s="560"/>
      <c r="D18" s="96"/>
      <c r="E18" s="44"/>
      <c r="F18" s="573" t="s">
        <v>2</v>
      </c>
      <c r="G18" s="475">
        <v>13</v>
      </c>
      <c r="H18" s="182" t="str">
        <f t="shared" si="0"/>
        <v/>
      </c>
      <c r="I18" s="126">
        <f>IF(J18=J19,0,IF(J18&lt;J19,2,4))</f>
        <v>0</v>
      </c>
      <c r="J18" s="576"/>
      <c r="K18" s="44"/>
      <c r="L18" s="616" t="s">
        <v>2</v>
      </c>
      <c r="M18" s="608" t="str">
        <f>IF(J6=J7,"Perdant du 1",IF(J6&lt;J7,H6,H7))</f>
        <v>Perdant du 1</v>
      </c>
      <c r="N18" s="177">
        <f>IF(O18=O19,0,IF(O18&lt;O19,0,1))</f>
        <v>0</v>
      </c>
      <c r="O18" s="631"/>
      <c r="P18" s="44"/>
      <c r="Q18" s="723"/>
      <c r="R18" s="535" t="str">
        <f>IF(O18=O19,"Gagnant du 8",IF(O18&gt;O19,M18,M19))</f>
        <v>Gagnant du 8</v>
      </c>
      <c r="S18" s="216">
        <v>0.5</v>
      </c>
      <c r="T18" s="121">
        <v>1</v>
      </c>
      <c r="U18" s="44"/>
      <c r="W18" s="533"/>
      <c r="X18" s="143"/>
      <c r="Z18" s="113"/>
      <c r="AA18" s="137">
        <v>13</v>
      </c>
      <c r="AB18" s="440">
        <f t="shared" si="9"/>
        <v>0</v>
      </c>
      <c r="AC18" s="155" t="str">
        <f t="shared" si="1"/>
        <v/>
      </c>
      <c r="AD18" s="210" t="str">
        <f t="shared" si="2"/>
        <v/>
      </c>
      <c r="AE18" s="210" t="str">
        <f t="shared" si="3"/>
        <v/>
      </c>
      <c r="AF18" s="157" t="str">
        <f t="shared" si="4"/>
        <v/>
      </c>
      <c r="AG18" s="347">
        <f t="shared" si="5"/>
        <v>0</v>
      </c>
      <c r="AH18" s="299">
        <f t="shared" si="6"/>
        <v>1.0021800000000001</v>
      </c>
      <c r="AI18" s="649">
        <f>IF(AB18="","",SMALL(AH$6:AH$25,ROWS(AL$6:AL18)))</f>
        <v>1.0021800000000001</v>
      </c>
      <c r="AJ18" s="652">
        <f>IF(AI18="","",IF(AND(AL17=AL18),$AJ17,$AJ$6+12))</f>
        <v>1</v>
      </c>
      <c r="AK18" s="465">
        <f t="shared" si="7"/>
        <v>0</v>
      </c>
      <c r="AL18" s="468">
        <f t="shared" si="8"/>
        <v>0</v>
      </c>
      <c r="AM18" s="61"/>
      <c r="AN18" s="548" t="s">
        <v>64</v>
      </c>
      <c r="AO18" s="242">
        <v>1</v>
      </c>
      <c r="AP18" s="675" t="s">
        <v>260</v>
      </c>
      <c r="AQ18" s="552">
        <v>3.5</v>
      </c>
      <c r="AR18"/>
    </row>
    <row r="19" spans="1:46" ht="24.95" customHeight="1" thickBot="1">
      <c r="A19" s="94">
        <v>14</v>
      </c>
      <c r="B19" s="557"/>
      <c r="C19" s="558"/>
      <c r="D19" s="96"/>
      <c r="E19" s="44"/>
      <c r="F19" s="574">
        <v>7</v>
      </c>
      <c r="G19" s="476">
        <v>14</v>
      </c>
      <c r="H19" s="198" t="str">
        <f t="shared" si="0"/>
        <v/>
      </c>
      <c r="I19" s="130">
        <f>IF(J18=J19,0,IF(J18&gt;J19,2,4))</f>
        <v>0</v>
      </c>
      <c r="J19" s="577"/>
      <c r="K19" s="44"/>
      <c r="L19" s="617">
        <v>8</v>
      </c>
      <c r="M19" s="609" t="str">
        <f>IF(J8=J9,"Perdant du 2",IF(J8&lt;J9,H8,H9))</f>
        <v>Perdant du 2</v>
      </c>
      <c r="N19" s="178">
        <f>IF(O18=O19,0,IF(O18&gt;O19,0,1))</f>
        <v>0</v>
      </c>
      <c r="O19" s="632"/>
      <c r="P19" s="44"/>
      <c r="Q19" s="282"/>
      <c r="R19" s="619" t="s">
        <v>105</v>
      </c>
      <c r="S19" s="399"/>
      <c r="T19" s="122"/>
      <c r="U19" s="44"/>
      <c r="W19" s="533"/>
      <c r="X19" s="143"/>
      <c r="Z19" s="61"/>
      <c r="AA19" s="137">
        <v>14</v>
      </c>
      <c r="AB19" s="440">
        <f t="shared" si="9"/>
        <v>0</v>
      </c>
      <c r="AC19" s="155" t="str">
        <f t="shared" si="1"/>
        <v/>
      </c>
      <c r="AD19" s="210" t="str">
        <f t="shared" si="2"/>
        <v/>
      </c>
      <c r="AE19" s="210" t="str">
        <f t="shared" si="3"/>
        <v/>
      </c>
      <c r="AF19" s="157" t="str">
        <f t="shared" si="4"/>
        <v/>
      </c>
      <c r="AG19" s="347">
        <f t="shared" si="5"/>
        <v>0</v>
      </c>
      <c r="AH19" s="299">
        <f t="shared" si="6"/>
        <v>1.0021899999999999</v>
      </c>
      <c r="AI19" s="649">
        <f>IF(AB19="","",SMALL(AH$6:AH$25,ROWS(AL$6:AL19)))</f>
        <v>1.0021899999999999</v>
      </c>
      <c r="AJ19" s="652">
        <f>IF(AI19="","",IF(AND(AL18=AL19),$AJ18,$AJ$6+13))</f>
        <v>1</v>
      </c>
      <c r="AK19" s="465">
        <f t="shared" si="7"/>
        <v>0</v>
      </c>
      <c r="AL19" s="468">
        <f t="shared" si="8"/>
        <v>0</v>
      </c>
      <c r="AM19" s="113"/>
      <c r="AN19" s="548" t="s">
        <v>64</v>
      </c>
      <c r="AO19" s="242">
        <v>2</v>
      </c>
      <c r="AP19" s="243" t="s">
        <v>251</v>
      </c>
      <c r="AQ19" s="552">
        <v>3</v>
      </c>
      <c r="AR19"/>
    </row>
    <row r="20" spans="1:46" ht="24.95" customHeight="1" thickBot="1">
      <c r="A20" s="94">
        <v>15</v>
      </c>
      <c r="B20" s="559"/>
      <c r="C20" s="560"/>
      <c r="D20" s="96"/>
      <c r="E20" s="44"/>
      <c r="F20" s="573" t="s">
        <v>2</v>
      </c>
      <c r="G20" s="475">
        <v>15</v>
      </c>
      <c r="H20" s="182" t="str">
        <f t="shared" si="0"/>
        <v/>
      </c>
      <c r="I20" s="126">
        <f>IF(J20=J21,0,IF(J20&lt;J21,2,4))</f>
        <v>0</v>
      </c>
      <c r="J20" s="576"/>
      <c r="K20" s="44"/>
      <c r="L20" s="616" t="s">
        <v>2</v>
      </c>
      <c r="M20" s="608" t="str">
        <f>IF(J10=J11,"Perdant du 3",IF(J10&lt;J11,H10,H11))</f>
        <v>Perdant du 3</v>
      </c>
      <c r="N20" s="177">
        <f>IF(O20=O21,0,IF(O20&lt;O21,0,1))</f>
        <v>0</v>
      </c>
      <c r="O20" s="635"/>
      <c r="P20" s="44"/>
      <c r="Q20" s="44"/>
      <c r="R20" s="131"/>
      <c r="S20" s="131"/>
      <c r="T20" s="44"/>
      <c r="U20" s="44"/>
      <c r="W20" s="533"/>
      <c r="X20" s="143"/>
      <c r="Z20" s="61"/>
      <c r="AA20" s="137">
        <v>15</v>
      </c>
      <c r="AB20" s="440">
        <f t="shared" si="9"/>
        <v>0</v>
      </c>
      <c r="AC20" s="155" t="str">
        <f t="shared" si="1"/>
        <v/>
      </c>
      <c r="AD20" s="210" t="str">
        <f t="shared" si="2"/>
        <v/>
      </c>
      <c r="AE20" s="210" t="str">
        <f t="shared" si="3"/>
        <v/>
      </c>
      <c r="AF20" s="157" t="str">
        <f t="shared" si="4"/>
        <v/>
      </c>
      <c r="AG20" s="347">
        <f t="shared" si="5"/>
        <v>0</v>
      </c>
      <c r="AH20" s="299">
        <f t="shared" si="6"/>
        <v>1.0022</v>
      </c>
      <c r="AI20" s="649">
        <f>IF(AB20="","",SMALL(AH$6:AH$25,ROWS(AL$6:AL20)))</f>
        <v>1.0022</v>
      </c>
      <c r="AJ20" s="652">
        <f>IF(AI20="","",IF(AND(AL19=AL20),$AJ19,$AJ$6+14))</f>
        <v>1</v>
      </c>
      <c r="AK20" s="465">
        <f t="shared" si="7"/>
        <v>0</v>
      </c>
      <c r="AL20" s="468">
        <f t="shared" si="8"/>
        <v>0</v>
      </c>
      <c r="AM20" s="113"/>
      <c r="AN20" s="549" t="s">
        <v>64</v>
      </c>
      <c r="AO20" s="250">
        <v>2</v>
      </c>
      <c r="AP20" s="247" t="s">
        <v>251</v>
      </c>
      <c r="AQ20" s="553">
        <v>3</v>
      </c>
      <c r="AR20"/>
    </row>
    <row r="21" spans="1:46" ht="24.95" customHeight="1" thickBot="1">
      <c r="A21" s="94">
        <v>16</v>
      </c>
      <c r="B21" s="545"/>
      <c r="C21" s="558"/>
      <c r="D21" s="96"/>
      <c r="E21" s="44"/>
      <c r="F21" s="574">
        <v>8</v>
      </c>
      <c r="G21" s="476">
        <v>16</v>
      </c>
      <c r="H21" s="198" t="str">
        <f t="shared" si="0"/>
        <v/>
      </c>
      <c r="I21" s="130">
        <f>IF(J20=J21,0,IF(J20&gt;J21,2,4))</f>
        <v>0</v>
      </c>
      <c r="J21" s="577"/>
      <c r="K21" s="44"/>
      <c r="L21" s="617">
        <v>2</v>
      </c>
      <c r="M21" s="610" t="str">
        <f>IF(J12=J13,"Perdant du 4",IF(J12&lt;J13,H12,H13))</f>
        <v>Perdant du 4</v>
      </c>
      <c r="N21" s="396">
        <f>IF(O20=O21,0,IF(O20&gt;O21,0,1))</f>
        <v>0</v>
      </c>
      <c r="O21" s="634"/>
      <c r="P21" s="44"/>
      <c r="Q21" s="44"/>
      <c r="R21" s="147" t="s">
        <v>53</v>
      </c>
      <c r="S21" s="131"/>
      <c r="T21" s="44"/>
      <c r="U21" s="44"/>
      <c r="V21" s="44"/>
      <c r="W21" s="131"/>
      <c r="X21" s="135"/>
      <c r="Y21" s="44"/>
      <c r="Z21" s="113"/>
      <c r="AA21" s="137">
        <v>16</v>
      </c>
      <c r="AB21" s="440">
        <f t="shared" si="9"/>
        <v>0</v>
      </c>
      <c r="AC21" s="155" t="str">
        <f t="shared" si="1"/>
        <v/>
      </c>
      <c r="AD21" s="210" t="str">
        <f t="shared" si="2"/>
        <v/>
      </c>
      <c r="AE21" s="210" t="str">
        <f t="shared" si="3"/>
        <v/>
      </c>
      <c r="AF21" s="157" t="str">
        <f t="shared" si="4"/>
        <v/>
      </c>
      <c r="AG21" s="347">
        <f t="shared" si="5"/>
        <v>0</v>
      </c>
      <c r="AH21" s="299">
        <f t="shared" si="6"/>
        <v>1.00221</v>
      </c>
      <c r="AI21" s="649">
        <f>IF(AB21="","",SMALL(AH$6:AH$25,ROWS(AL$6:AL21)))</f>
        <v>1.00221</v>
      </c>
      <c r="AJ21" s="652">
        <f>IF(AI21="","",IF(AND(AL20=AL21),$AJ20,$AJ$6+15))</f>
        <v>1</v>
      </c>
      <c r="AK21" s="465">
        <f t="shared" si="7"/>
        <v>0</v>
      </c>
      <c r="AL21" s="468">
        <f t="shared" si="8"/>
        <v>0</v>
      </c>
      <c r="AM21" s="113"/>
      <c r="AN21" s="518" t="s">
        <v>116</v>
      </c>
      <c r="AO21" s="254">
        <v>2</v>
      </c>
      <c r="AP21" s="245" t="s">
        <v>246</v>
      </c>
      <c r="AQ21" s="136">
        <f t="shared" ref="AQ21:AQ25" si="10">SUM(AO21:AP21)</f>
        <v>2</v>
      </c>
      <c r="AR21"/>
    </row>
    <row r="22" spans="1:46" ht="24.95" customHeight="1">
      <c r="A22" s="94">
        <v>17</v>
      </c>
      <c r="B22" s="559"/>
      <c r="C22" s="560"/>
      <c r="D22" s="223"/>
      <c r="E22" s="44"/>
      <c r="F22" s="573" t="s">
        <v>2</v>
      </c>
      <c r="G22" s="475">
        <v>17</v>
      </c>
      <c r="H22" s="182" t="str">
        <f t="shared" si="0"/>
        <v/>
      </c>
      <c r="I22" s="126">
        <f>IF(J22=J23,0,IF(J22&lt;J23,2,4))</f>
        <v>0</v>
      </c>
      <c r="J22" s="576"/>
      <c r="K22" s="44"/>
      <c r="L22" s="616" t="s">
        <v>2</v>
      </c>
      <c r="M22" s="608" t="str">
        <f>IF(J14=J15,"Perdant du 5",IF(J14&lt;J15,H14,H15))</f>
        <v>Perdant du 5</v>
      </c>
      <c r="N22" s="177">
        <f>IF(O22=O23,0,IF(O22&lt;O23,0,1))</f>
        <v>0</v>
      </c>
      <c r="O22" s="631"/>
      <c r="P22" s="44"/>
      <c r="Q22" s="483" t="s">
        <v>2</v>
      </c>
      <c r="R22" s="528" t="str">
        <f>IF(O6=O7,"Perdant du 3",IF(O6&lt;O7,M6,M7))</f>
        <v>Perdant du 3</v>
      </c>
      <c r="S22" s="126">
        <f>IF(T22=T23,0,IF(T22&lt;T23,0,1))</f>
        <v>0</v>
      </c>
      <c r="T22" s="511"/>
      <c r="U22" s="44"/>
      <c r="V22" s="44"/>
      <c r="W22" s="131"/>
      <c r="X22" s="135"/>
      <c r="Y22" s="44"/>
      <c r="Z22" s="113"/>
      <c r="AA22" s="137">
        <v>17</v>
      </c>
      <c r="AB22" s="440">
        <f t="shared" si="9"/>
        <v>0</v>
      </c>
      <c r="AC22" s="155" t="str">
        <f t="shared" si="1"/>
        <v/>
      </c>
      <c r="AD22" s="210" t="str">
        <f t="shared" si="2"/>
        <v/>
      </c>
      <c r="AE22" s="210" t="str">
        <f t="shared" si="3"/>
        <v/>
      </c>
      <c r="AF22" s="157" t="str">
        <f t="shared" si="4"/>
        <v/>
      </c>
      <c r="AG22" s="347">
        <f t="shared" si="5"/>
        <v>0</v>
      </c>
      <c r="AH22" s="299">
        <f t="shared" si="6"/>
        <v>1.0022200000000001</v>
      </c>
      <c r="AI22" s="649">
        <f>IF(AB22="","",SMALL(AH$6:AH$25,ROWS(AL$6:AL22)))</f>
        <v>1.0022200000000001</v>
      </c>
      <c r="AJ22" s="652">
        <f>IF(AI22="","",IF(AND(AL21=AL22),$AJ21,$AJ$6+16))</f>
        <v>1</v>
      </c>
      <c r="AK22" s="465">
        <f t="shared" si="7"/>
        <v>0</v>
      </c>
      <c r="AL22" s="468">
        <f t="shared" si="8"/>
        <v>0</v>
      </c>
      <c r="AM22" s="113"/>
      <c r="AN22" s="563" t="s">
        <v>116</v>
      </c>
      <c r="AO22" s="255">
        <v>2</v>
      </c>
      <c r="AP22" s="243" t="s">
        <v>246</v>
      </c>
      <c r="AQ22" s="137">
        <f t="shared" si="10"/>
        <v>2</v>
      </c>
      <c r="AR22"/>
    </row>
    <row r="23" spans="1:46" ht="24.95" customHeight="1" thickBot="1">
      <c r="A23" s="94">
        <v>18</v>
      </c>
      <c r="B23" s="545"/>
      <c r="C23" s="558"/>
      <c r="D23" s="96"/>
      <c r="E23" s="44"/>
      <c r="F23" s="574">
        <v>9</v>
      </c>
      <c r="G23" s="476">
        <v>18</v>
      </c>
      <c r="H23" s="198" t="str">
        <f t="shared" si="0"/>
        <v/>
      </c>
      <c r="I23" s="130">
        <f>IF(J22=J23,0,IF(J22&gt;J23,2,4))</f>
        <v>0</v>
      </c>
      <c r="J23" s="577"/>
      <c r="K23" s="44"/>
      <c r="L23" s="618">
        <v>4</v>
      </c>
      <c r="M23" s="609" t="str">
        <f>IF(J16=J17,"Perdant du 6",IF(J16&lt;J17,H16,H17))</f>
        <v>Perdant du 6</v>
      </c>
      <c r="N23" s="178">
        <f>IF(O22=O23,0,IF(O22&gt;O23,0,1))</f>
        <v>0</v>
      </c>
      <c r="O23" s="632"/>
      <c r="P23" s="44"/>
      <c r="Q23" s="484">
        <v>4</v>
      </c>
      <c r="R23" s="520" t="str">
        <f>IF(O8=O9,"Perdant du 5",IF(O8&lt;O9,M8,M9))</f>
        <v>Perdant du 5</v>
      </c>
      <c r="S23" s="130">
        <f>IF(T22=T23,0,IF(T22&gt;T23,0,1))</f>
        <v>0</v>
      </c>
      <c r="T23" s="512"/>
      <c r="U23" s="44"/>
      <c r="V23" s="44"/>
      <c r="W23" s="147" t="s">
        <v>11</v>
      </c>
      <c r="X23" s="131"/>
      <c r="Y23" s="44"/>
      <c r="Z23" s="113"/>
      <c r="AA23" s="137">
        <v>18</v>
      </c>
      <c r="AB23" s="440">
        <f t="shared" si="9"/>
        <v>0</v>
      </c>
      <c r="AC23" s="155" t="str">
        <f t="shared" si="1"/>
        <v/>
      </c>
      <c r="AD23" s="210" t="str">
        <f t="shared" si="2"/>
        <v/>
      </c>
      <c r="AE23" s="210" t="str">
        <f t="shared" si="3"/>
        <v/>
      </c>
      <c r="AF23" s="157" t="str">
        <f t="shared" si="4"/>
        <v/>
      </c>
      <c r="AG23" s="347">
        <f t="shared" si="5"/>
        <v>0</v>
      </c>
      <c r="AH23" s="299">
        <f t="shared" si="6"/>
        <v>1.00223</v>
      </c>
      <c r="AI23" s="649">
        <f>IF(AB23="","",SMALL(AH$6:AH$25,ROWS(AL$6:AL23)))</f>
        <v>1.00223</v>
      </c>
      <c r="AJ23" s="652">
        <f>IF(AI23="","",IF(AND(AL22=AL23),$AJ22,$AJ$6+17))</f>
        <v>1</v>
      </c>
      <c r="AK23" s="465">
        <f t="shared" si="7"/>
        <v>0</v>
      </c>
      <c r="AL23" s="468">
        <f t="shared" si="8"/>
        <v>0</v>
      </c>
      <c r="AM23" s="113"/>
      <c r="AN23" s="563" t="s">
        <v>116</v>
      </c>
      <c r="AO23" s="255">
        <v>2</v>
      </c>
      <c r="AP23" s="243" t="s">
        <v>246</v>
      </c>
      <c r="AQ23" s="137">
        <f t="shared" ref="AQ23" si="11">SUM(AO23:AP23)</f>
        <v>2</v>
      </c>
      <c r="AR23"/>
    </row>
    <row r="24" spans="1:46" ht="24.95" customHeight="1">
      <c r="A24" s="94">
        <v>19</v>
      </c>
      <c r="B24" s="545"/>
      <c r="C24" s="558"/>
      <c r="D24" s="96"/>
      <c r="E24" s="44"/>
      <c r="F24" s="573" t="s">
        <v>2</v>
      </c>
      <c r="G24" s="475">
        <v>19</v>
      </c>
      <c r="H24" s="182" t="str">
        <f t="shared" si="0"/>
        <v/>
      </c>
      <c r="I24" s="128">
        <f>IF(J24=J25,0,IF(J24&lt;J25,2,4))</f>
        <v>0</v>
      </c>
      <c r="J24" s="576"/>
      <c r="K24" s="44"/>
      <c r="L24" s="616" t="s">
        <v>2</v>
      </c>
      <c r="M24" s="606" t="str">
        <f>IF(J18=J19,"Perdant du 7",IF(J18&lt;J19,H18,H19))</f>
        <v>Perdant du 7</v>
      </c>
      <c r="N24" s="172">
        <f>IF(O24=O25,0,IF(O24&lt;O25,0,1))</f>
        <v>0</v>
      </c>
      <c r="O24" s="635"/>
      <c r="P24" s="44"/>
      <c r="Q24" s="509" t="s">
        <v>2</v>
      </c>
      <c r="R24" s="521" t="str">
        <f>IF(O10=O11,"Perdant du 7",IF(O10&lt;O11,M10,M11))</f>
        <v>Perdant du 7</v>
      </c>
      <c r="S24" s="400">
        <f>IF(T24=T25,0,IF(T24&lt;T25,0,1))</f>
        <v>0</v>
      </c>
      <c r="T24" s="636"/>
      <c r="U24" s="44"/>
      <c r="V24" s="483" t="s">
        <v>2</v>
      </c>
      <c r="W24" s="535" t="str">
        <f>IF(T22=T23,"Gagnant du 4",IF(T22&gt;T23,R22,R23))</f>
        <v>Gagnant du 4</v>
      </c>
      <c r="X24" s="177">
        <f>IF(Y24=Y25,0,IF(Y24&lt;Y25,0,1))</f>
        <v>0</v>
      </c>
      <c r="Y24" s="511"/>
      <c r="Z24" s="113"/>
      <c r="AA24" s="137">
        <v>19</v>
      </c>
      <c r="AB24" s="440">
        <f t="shared" si="9"/>
        <v>0</v>
      </c>
      <c r="AC24" s="155" t="str">
        <f t="shared" si="1"/>
        <v/>
      </c>
      <c r="AD24" s="210" t="str">
        <f t="shared" si="2"/>
        <v/>
      </c>
      <c r="AE24" s="210" t="str">
        <f t="shared" si="3"/>
        <v/>
      </c>
      <c r="AF24" s="157" t="str">
        <f t="shared" si="4"/>
        <v/>
      </c>
      <c r="AG24" s="347">
        <f t="shared" si="5"/>
        <v>0</v>
      </c>
      <c r="AH24" s="299">
        <f t="shared" si="6"/>
        <v>1.00224</v>
      </c>
      <c r="AI24" s="649">
        <f>IF(AB24="","",SMALL(AH$6:AH$25,ROWS(AL$6:AL24)))</f>
        <v>1.00224</v>
      </c>
      <c r="AJ24" s="652">
        <f>IF(AI24="","",IF(AND(AL23=AL24),$AJ23,$AJ$6+18))</f>
        <v>1</v>
      </c>
      <c r="AK24" s="465">
        <f t="shared" si="7"/>
        <v>0</v>
      </c>
      <c r="AL24" s="468">
        <f t="shared" si="8"/>
        <v>0</v>
      </c>
      <c r="AM24" s="113"/>
      <c r="AN24" s="563" t="s">
        <v>116</v>
      </c>
      <c r="AO24" s="255">
        <v>2</v>
      </c>
      <c r="AP24" s="243" t="s">
        <v>246</v>
      </c>
      <c r="AQ24" s="137">
        <f t="shared" si="10"/>
        <v>2</v>
      </c>
      <c r="AR24"/>
    </row>
    <row r="25" spans="1:46" ht="24.95" customHeight="1" thickBot="1">
      <c r="A25" s="110">
        <v>20</v>
      </c>
      <c r="B25" s="592"/>
      <c r="C25" s="588"/>
      <c r="D25" s="111"/>
      <c r="E25" s="44"/>
      <c r="F25" s="574">
        <v>10</v>
      </c>
      <c r="G25" s="476">
        <v>20</v>
      </c>
      <c r="H25" s="198" t="str">
        <f t="shared" si="0"/>
        <v/>
      </c>
      <c r="I25" s="130">
        <f>IF(J24=J25,0,IF(J24&gt;J25,2,4))</f>
        <v>0</v>
      </c>
      <c r="J25" s="577"/>
      <c r="K25" s="44"/>
      <c r="L25" s="618">
        <v>6</v>
      </c>
      <c r="M25" s="611" t="str">
        <f>IF(J20=J21,"Perdant du 8",IF(J20&lt;J21,H20,H21))</f>
        <v>Perdant du 8</v>
      </c>
      <c r="N25" s="396">
        <f>IF(O24=O25,0,IF(O24&gt;O25,0,1))</f>
        <v>0</v>
      </c>
      <c r="O25" s="634"/>
      <c r="P25" s="44"/>
      <c r="Q25" s="598">
        <v>1</v>
      </c>
      <c r="R25" s="594" t="str">
        <f>IF(O12=O13,"Perdant du 1",IF(O12&lt;O13,M12,M13))</f>
        <v>Perdant du 1</v>
      </c>
      <c r="S25" s="401">
        <f>IF(T24=T25,0,IF(T24&gt;T25,0,1))</f>
        <v>0</v>
      </c>
      <c r="T25" s="637"/>
      <c r="U25" s="44"/>
      <c r="V25" s="484">
        <v>2</v>
      </c>
      <c r="W25" s="520" t="str">
        <f>IF(T24=T25,"Gagnant du 1",IF(T24&gt;T25,R24,R25))</f>
        <v>Gagnant du 1</v>
      </c>
      <c r="X25" s="178">
        <f>IF(Y24=Y25,0,IF(Y24&gt;Y25,0,1))</f>
        <v>0</v>
      </c>
      <c r="Y25" s="512"/>
      <c r="Z25" s="113"/>
      <c r="AA25" s="137">
        <v>20</v>
      </c>
      <c r="AB25" s="463">
        <f t="shared" si="9"/>
        <v>0</v>
      </c>
      <c r="AC25" s="180" t="str">
        <f t="shared" si="1"/>
        <v/>
      </c>
      <c r="AD25" s="236" t="str">
        <f t="shared" si="2"/>
        <v/>
      </c>
      <c r="AE25" s="236" t="str">
        <f t="shared" si="3"/>
        <v/>
      </c>
      <c r="AF25" s="158" t="str">
        <f t="shared" si="4"/>
        <v/>
      </c>
      <c r="AG25" s="348">
        <f t="shared" si="5"/>
        <v>0</v>
      </c>
      <c r="AH25" s="299">
        <f t="shared" si="6"/>
        <v>1.0022500000000001</v>
      </c>
      <c r="AI25" s="649">
        <f>IF(AB25="","",SMALL(AH$6:AH$25,ROWS(AL$6:AL25)))</f>
        <v>1.0022500000000001</v>
      </c>
      <c r="AJ25" s="653">
        <f>IF(AI25="","",IF(AND(AL24=AL25),$AJ24,$AJ$6+19))</f>
        <v>1</v>
      </c>
      <c r="AK25" s="470">
        <f t="shared" si="7"/>
        <v>0</v>
      </c>
      <c r="AL25" s="469">
        <f t="shared" si="8"/>
        <v>0</v>
      </c>
      <c r="AM25" s="113"/>
      <c r="AN25" s="142" t="s">
        <v>116</v>
      </c>
      <c r="AO25" s="253">
        <v>2</v>
      </c>
      <c r="AP25" s="247" t="s">
        <v>246</v>
      </c>
      <c r="AQ25" s="138">
        <f t="shared" si="10"/>
        <v>2</v>
      </c>
      <c r="AR25"/>
    </row>
    <row r="26" spans="1:46" ht="24.95" customHeight="1" thickBot="1">
      <c r="A26" s="44"/>
      <c r="B26" s="44"/>
      <c r="C26" s="44"/>
      <c r="D26" s="44"/>
      <c r="E26" s="44"/>
      <c r="F26" s="44"/>
      <c r="G26" s="44"/>
      <c r="H26" s="44"/>
      <c r="I26" s="44"/>
      <c r="J26" s="384"/>
      <c r="K26" s="44"/>
      <c r="L26" s="616" t="s">
        <v>2</v>
      </c>
      <c r="M26" s="608" t="str">
        <f>IF(J22=J23,"Perdant du 9",IF(J22&lt;J23,H22,H23))</f>
        <v>Perdant du 9</v>
      </c>
      <c r="N26" s="177">
        <f>IF(O26=O27,0,IF(O26&lt;O27,0,1))</f>
        <v>0</v>
      </c>
      <c r="O26" s="631"/>
      <c r="P26" s="44"/>
      <c r="Q26" s="723"/>
      <c r="R26" s="535" t="str">
        <f>IF(O14=O15,"Perdant du 9",IF(O14&lt;O15,M14,M15))</f>
        <v>Perdant du 9</v>
      </c>
      <c r="S26" s="397">
        <v>0.5</v>
      </c>
      <c r="T26" s="121">
        <v>1</v>
      </c>
      <c r="U26" s="44"/>
      <c r="V26" s="44"/>
      <c r="W26" s="44"/>
      <c r="X26" s="44"/>
      <c r="Y26" s="189"/>
      <c r="Z26" s="113"/>
      <c r="AA26" s="113"/>
      <c r="AB26" s="131"/>
      <c r="AC26" s="131">
        <f>SUM(AC6:AC25)</f>
        <v>0</v>
      </c>
      <c r="AD26" s="131">
        <f>SUM(AD6:AD25)</f>
        <v>0</v>
      </c>
      <c r="AE26" s="131">
        <f>SUM(AE6:AE25)</f>
        <v>0</v>
      </c>
      <c r="AF26" s="131">
        <f>SUM(AF6:AF25)</f>
        <v>0</v>
      </c>
      <c r="AG26" s="131">
        <f>SUM(AG6:AG25)</f>
        <v>0</v>
      </c>
      <c r="AH26" s="131"/>
      <c r="AI26" s="131"/>
      <c r="AJ26" s="131"/>
      <c r="AK26" s="131"/>
      <c r="AL26" s="271">
        <f>SUM(AL6:AL25)</f>
        <v>0</v>
      </c>
      <c r="AM26" s="113"/>
      <c r="AN26" s="113"/>
      <c r="AO26" s="113"/>
      <c r="AP26" s="113"/>
      <c r="AQ26"/>
      <c r="AR26" s="161"/>
    </row>
    <row r="27" spans="1:46" ht="24.95" customHeight="1" thickBo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617">
        <v>10</v>
      </c>
      <c r="M27" s="605" t="str">
        <f>IF(J24=J25,"Perdant du 9",IF(J24&lt;J25,H24,H25))</f>
        <v>Perdant du 9</v>
      </c>
      <c r="N27" s="178">
        <f>IF(O26=O27,0,IF(O26&gt;O27,0,1))</f>
        <v>0</v>
      </c>
      <c r="O27" s="632"/>
      <c r="P27" s="44"/>
      <c r="Q27" s="282"/>
      <c r="R27" s="118" t="s">
        <v>105</v>
      </c>
      <c r="S27" s="398"/>
      <c r="T27" s="122"/>
      <c r="U27" s="44"/>
      <c r="V27" s="44"/>
      <c r="W27" s="44"/>
      <c r="X27" s="44"/>
      <c r="Y27" s="189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61"/>
      <c r="AO27" s="161"/>
      <c r="AP27" s="161"/>
      <c r="AQ27" s="161"/>
      <c r="AR27" s="161"/>
    </row>
    <row r="28" spans="1:46" ht="24.95" customHeight="1">
      <c r="A28" s="44"/>
      <c r="B28" s="407" t="s">
        <v>145</v>
      </c>
      <c r="C28" s="44"/>
      <c r="D28" s="44"/>
      <c r="E28" s="44"/>
      <c r="F28" s="384"/>
      <c r="G28" s="384"/>
      <c r="H28" s="144" t="s">
        <v>232</v>
      </c>
      <c r="I28" s="44"/>
      <c r="J28" s="189"/>
      <c r="K28" s="189"/>
      <c r="L28" s="61"/>
      <c r="M28" s="283"/>
      <c r="N28" s="61"/>
      <c r="O28" s="61"/>
      <c r="P28" s="189"/>
      <c r="U28" s="44"/>
      <c r="V28" s="189"/>
      <c r="W28" s="189"/>
      <c r="X28" s="189"/>
      <c r="Y28" s="189"/>
      <c r="Z28" s="199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61"/>
      <c r="AO28" s="161"/>
      <c r="AP28" s="161"/>
      <c r="AQ28" s="161"/>
      <c r="AR28" s="161"/>
    </row>
    <row r="29" spans="1:46" ht="24.95" customHeight="1" thickBot="1">
      <c r="A29" s="44"/>
      <c r="B29" s="434" t="s">
        <v>45</v>
      </c>
      <c r="C29" s="44"/>
      <c r="D29" s="44"/>
      <c r="E29" s="44"/>
      <c r="F29" s="44"/>
      <c r="G29" s="44"/>
      <c r="H29" s="44"/>
      <c r="I29" s="44"/>
      <c r="J29" s="189"/>
      <c r="K29" s="189"/>
      <c r="L29" s="44"/>
      <c r="M29" s="44"/>
      <c r="N29" s="113"/>
      <c r="O29" s="44"/>
      <c r="P29" s="189"/>
      <c r="U29" s="44"/>
      <c r="V29" s="189"/>
      <c r="W29" s="189"/>
      <c r="X29" s="189"/>
      <c r="Y29" s="189"/>
      <c r="Z29" s="199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M29" s="113"/>
      <c r="AN29" s="161"/>
      <c r="AO29" s="161"/>
      <c r="AP29" s="161"/>
      <c r="AQ29" s="161"/>
      <c r="AR29" s="161"/>
    </row>
    <row r="30" spans="1:46" ht="24.95" customHeight="1" thickBot="1">
      <c r="A30" s="189"/>
      <c r="B30" s="189"/>
      <c r="C30" s="189"/>
      <c r="D30" s="189"/>
      <c r="E30" s="189"/>
      <c r="F30" s="189"/>
      <c r="G30" s="189"/>
      <c r="H30" s="384"/>
      <c r="I30" s="135">
        <f>SUM(I6:I27)</f>
        <v>0</v>
      </c>
      <c r="J30" s="279"/>
      <c r="K30" s="279"/>
      <c r="L30" s="279"/>
      <c r="M30" s="135"/>
      <c r="N30" s="131">
        <f>SUM(N6:N27)</f>
        <v>0</v>
      </c>
      <c r="O30" s="135"/>
      <c r="P30" s="135"/>
      <c r="Q30" s="279"/>
      <c r="R30" s="143"/>
      <c r="S30" s="135">
        <f>SUM(S6:S27)</f>
        <v>2</v>
      </c>
      <c r="T30" s="143"/>
      <c r="U30" s="143"/>
      <c r="V30" s="279"/>
      <c r="W30" s="279"/>
      <c r="X30" s="135">
        <f>SUM(X7:X26)</f>
        <v>0</v>
      </c>
      <c r="Y30" s="279"/>
      <c r="Z30" s="143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1">
        <f>SUM(I30:Z30)</f>
        <v>2</v>
      </c>
      <c r="AL30"/>
      <c r="AM30" s="189"/>
      <c r="AN30" s="161"/>
      <c r="AO30" s="161"/>
      <c r="AP30" s="161"/>
      <c r="AQ30" s="161"/>
      <c r="AR30" s="135"/>
    </row>
    <row r="31" spans="1:46" ht="24.95" customHeight="1" thickBot="1">
      <c r="A31" s="189"/>
      <c r="G31" s="189"/>
      <c r="H31" s="189"/>
      <c r="I31" s="44"/>
      <c r="J31" s="189"/>
      <c r="K31" s="189"/>
      <c r="L31" s="189"/>
      <c r="M31" s="189"/>
      <c r="N31" s="189"/>
      <c r="O31" s="189"/>
      <c r="P31" s="199"/>
      <c r="Q31" s="189"/>
      <c r="R31" s="189"/>
      <c r="W31" s="189"/>
      <c r="X31" s="384"/>
      <c r="Y31" s="384"/>
      <c r="Z31" s="113"/>
      <c r="AA31" s="44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61"/>
      <c r="AO31" s="161"/>
      <c r="AP31" s="161"/>
      <c r="AQ31" s="161"/>
      <c r="AR31" s="161"/>
      <c r="AS31" s="161"/>
      <c r="AT31" s="161"/>
    </row>
    <row r="32" spans="1:46" ht="24.95" customHeight="1" thickBot="1">
      <c r="A32" s="189"/>
      <c r="G32" s="189"/>
      <c r="H32" s="189"/>
      <c r="I32" s="44">
        <v>60</v>
      </c>
      <c r="J32" s="44"/>
      <c r="K32" s="44"/>
      <c r="L32" s="162"/>
      <c r="M32" s="162"/>
      <c r="N32" s="44">
        <v>15</v>
      </c>
      <c r="O32" s="44"/>
      <c r="P32" s="113"/>
      <c r="Q32" s="44"/>
      <c r="R32" s="162"/>
      <c r="S32" s="44">
        <v>10</v>
      </c>
      <c r="T32" s="162"/>
      <c r="U32" s="44"/>
      <c r="V32" s="44"/>
      <c r="W32" s="44"/>
      <c r="X32" s="44">
        <v>4</v>
      </c>
      <c r="AG32" s="199"/>
      <c r="AH32" s="199"/>
      <c r="AI32" s="199"/>
      <c r="AJ32" s="199"/>
      <c r="AK32" s="517">
        <f>SUM(I32:X32)</f>
        <v>89</v>
      </c>
      <c r="AL32" s="199"/>
      <c r="AM32" s="199"/>
      <c r="AN32" s="199"/>
      <c r="AO32" s="189"/>
      <c r="AP32" s="161"/>
      <c r="AQ32" s="161"/>
      <c r="AR32" s="161"/>
      <c r="AS32" s="161"/>
      <c r="AT32" s="161"/>
    </row>
    <row r="33" spans="1:46" ht="24.95" customHeight="1">
      <c r="A33" s="189"/>
      <c r="G33" s="189"/>
      <c r="H33" s="189"/>
      <c r="I33" s="189"/>
      <c r="J33" s="189"/>
      <c r="K33" s="189"/>
      <c r="N33" s="189"/>
      <c r="O33" s="189"/>
      <c r="P33" s="199"/>
      <c r="Q33" s="189"/>
      <c r="S33" s="189"/>
      <c r="T33" s="189"/>
      <c r="U33" s="189"/>
      <c r="V33" s="189"/>
      <c r="W33" s="189"/>
      <c r="AG33" s="199"/>
      <c r="AH33" s="199"/>
      <c r="AI33" s="199"/>
      <c r="AJ33" s="199"/>
      <c r="AK33" s="199"/>
      <c r="AL33" s="199"/>
      <c r="AM33" s="199"/>
      <c r="AO33" s="189"/>
      <c r="AP33" s="161"/>
      <c r="AQ33" s="161"/>
      <c r="AR33" s="161"/>
      <c r="AS33" s="161"/>
      <c r="AT33" s="161"/>
    </row>
    <row r="34" spans="1:46" ht="18.75">
      <c r="H34" s="189"/>
      <c r="M34" s="189"/>
      <c r="N34" s="189"/>
      <c r="O34" s="199"/>
      <c r="P34" s="189"/>
      <c r="R34" s="189"/>
      <c r="S34" s="189"/>
      <c r="T34" s="189"/>
      <c r="U34" s="189"/>
      <c r="AN34" s="199"/>
      <c r="AO34" s="189"/>
      <c r="AP34" s="161"/>
      <c r="AQ34" s="161"/>
    </row>
    <row r="35" spans="1:46" ht="18.75">
      <c r="H35" s="189"/>
      <c r="S35" s="189"/>
      <c r="T35" s="189"/>
      <c r="U35" s="189"/>
    </row>
    <row r="36" spans="1:46" ht="18.75">
      <c r="B36" s="44"/>
      <c r="C36" s="44" t="s">
        <v>41</v>
      </c>
      <c r="D36" s="44"/>
      <c r="E36" s="189"/>
      <c r="F36" s="189"/>
    </row>
    <row r="37" spans="1:46" ht="18.75">
      <c r="B37" s="144" t="s">
        <v>42</v>
      </c>
      <c r="C37" s="214" t="s">
        <v>101</v>
      </c>
      <c r="D37" s="44"/>
      <c r="E37" s="189"/>
      <c r="F37" s="189"/>
    </row>
    <row r="38" spans="1:46" ht="18.75">
      <c r="B38" s="145" t="s">
        <v>43</v>
      </c>
      <c r="C38" s="214" t="s">
        <v>102</v>
      </c>
      <c r="D38" s="41"/>
      <c r="E38" s="189"/>
      <c r="F38" s="189"/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4:AL4"/>
    <mergeCell ref="AO4:AQ4"/>
  </mergeCells>
  <conditionalFormatting sqref="AJ6:AJ25">
    <cfRule type="duplicateValues" dxfId="2" priority="1"/>
  </conditionalFormatting>
  <pageMargins left="0.23" right="0.18" top="0.24" bottom="0.42" header="0.11" footer="0.2"/>
  <pageSetup paperSize="9" scale="49" orientation="landscape" horizontalDpi="4294967293" verticalDpi="0" r:id="rId1"/>
  <colBreaks count="1" manualBreakCount="1">
    <brk id="22" max="37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FF00"/>
  </sheetPr>
  <dimension ref="A1:AR40"/>
  <sheetViews>
    <sheetView zoomScale="60" zoomScaleNormal="60" workbookViewId="0">
      <selection activeCell="Y37" sqref="Y37"/>
    </sheetView>
  </sheetViews>
  <sheetFormatPr baseColWidth="10" defaultRowHeight="15"/>
  <cols>
    <col min="1" max="1" width="9.28515625" customWidth="1"/>
    <col min="2" max="2" width="26.140625" customWidth="1"/>
    <col min="3" max="3" width="21.140625" customWidth="1"/>
    <col min="4" max="4" width="10.7109375" customWidth="1"/>
    <col min="5" max="5" width="6.42578125" customWidth="1"/>
    <col min="7" max="7" width="6.42578125" hidden="1" customWidth="1"/>
    <col min="8" max="8" width="27.28515625" customWidth="1"/>
    <col min="9" max="9" width="9.5703125" hidden="1" customWidth="1"/>
    <col min="10" max="10" width="9" customWidth="1"/>
    <col min="11" max="11" width="6.85546875" customWidth="1"/>
    <col min="12" max="12" width="8.28515625" customWidth="1"/>
    <col min="13" max="13" width="26.5703125" customWidth="1"/>
    <col min="14" max="14" width="8.140625" hidden="1" customWidth="1"/>
    <col min="15" max="15" width="9" customWidth="1"/>
    <col min="16" max="16" width="6" customWidth="1"/>
    <col min="17" max="17" width="9.5703125" customWidth="1"/>
    <col min="18" max="18" width="25.7109375" customWidth="1"/>
    <col min="19" max="19" width="7.5703125" hidden="1" customWidth="1"/>
    <col min="20" max="20" width="7.5703125" customWidth="1"/>
    <col min="21" max="21" width="5.7109375" customWidth="1"/>
    <col min="22" max="22" width="8.28515625" customWidth="1"/>
    <col min="23" max="23" width="25.85546875" customWidth="1"/>
    <col min="24" max="24" width="9.7109375" hidden="1" customWidth="1"/>
    <col min="25" max="25" width="9.5703125" customWidth="1"/>
    <col min="26" max="26" width="7.42578125" customWidth="1"/>
    <col min="27" max="27" width="0" hidden="1" customWidth="1"/>
    <col min="28" max="28" width="25.7109375" hidden="1" customWidth="1"/>
    <col min="29" max="31" width="0" hidden="1" customWidth="1"/>
    <col min="32" max="32" width="4.28515625" hidden="1" customWidth="1"/>
    <col min="33" max="33" width="7.42578125" hidden="1" customWidth="1"/>
    <col min="34" max="34" width="9.7109375" hidden="1" customWidth="1"/>
    <col min="35" max="35" width="12.140625" hidden="1" customWidth="1"/>
    <col min="36" max="36" width="12.140625" customWidth="1"/>
    <col min="37" max="37" width="35.28515625" customWidth="1"/>
    <col min="38" max="38" width="13.7109375" customWidth="1"/>
    <col min="39" max="39" width="11.85546875" customWidth="1"/>
    <col min="40" max="40" width="23.140625" customWidth="1"/>
    <col min="41" max="41" width="9" bestFit="1" customWidth="1"/>
    <col min="42" max="42" width="46.28515625" customWidth="1"/>
    <col min="43" max="43" width="13.5703125" customWidth="1"/>
    <col min="46" max="46" width="29.7109375" customWidth="1"/>
  </cols>
  <sheetData>
    <row r="1" spans="1:44" s="646" customFormat="1" ht="36" customHeight="1" thickBot="1">
      <c r="A1" s="642"/>
      <c r="B1" s="642"/>
      <c r="C1" s="643" t="s">
        <v>0</v>
      </c>
      <c r="D1" s="642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4"/>
      <c r="P1" s="643"/>
      <c r="Q1" s="643"/>
      <c r="R1" s="643" t="s">
        <v>138</v>
      </c>
      <c r="S1" s="643"/>
      <c r="T1" s="643"/>
      <c r="U1" s="643"/>
      <c r="V1" s="643"/>
      <c r="W1" s="643"/>
      <c r="X1" s="644"/>
      <c r="Y1" s="644"/>
      <c r="Z1" s="643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3"/>
      <c r="AO1" s="645"/>
      <c r="AP1" s="645"/>
      <c r="AQ1" s="645"/>
      <c r="AR1" s="645"/>
    </row>
    <row r="2" spans="1:44" ht="33" customHeight="1" thickBot="1">
      <c r="A2" s="4"/>
      <c r="B2" s="60" t="s">
        <v>235</v>
      </c>
      <c r="C2" s="4"/>
      <c r="D2" s="389" t="s">
        <v>44</v>
      </c>
      <c r="E2" s="389"/>
      <c r="F2" s="389"/>
      <c r="G2" s="389"/>
      <c r="H2" s="389"/>
      <c r="I2" s="389"/>
      <c r="J2" s="389"/>
      <c r="K2" s="389" t="s">
        <v>22</v>
      </c>
      <c r="L2" s="389"/>
      <c r="M2" s="44"/>
      <c r="N2" s="44"/>
      <c r="O2" s="113"/>
      <c r="P2" s="44"/>
      <c r="Q2" s="4"/>
      <c r="R2" s="4"/>
      <c r="S2" s="4"/>
      <c r="T2" s="4"/>
      <c r="U2" s="4"/>
      <c r="V2" s="4"/>
      <c r="W2" s="63"/>
      <c r="X2" s="4"/>
      <c r="Y2" s="4"/>
      <c r="Z2" s="643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3"/>
      <c r="AO2" s="645"/>
      <c r="AP2" s="645"/>
      <c r="AQ2" s="645"/>
      <c r="AR2" s="30"/>
    </row>
    <row r="3" spans="1:44" ht="26.25">
      <c r="A3" s="4"/>
      <c r="B3" s="4"/>
      <c r="C3" s="4"/>
      <c r="D3" s="4"/>
      <c r="E3" s="4"/>
      <c r="F3" s="4"/>
      <c r="G3" s="4"/>
      <c r="H3" s="4"/>
      <c r="I3" s="4"/>
      <c r="J3" s="385"/>
      <c r="K3" s="385"/>
      <c r="L3" s="384"/>
      <c r="M3" s="44"/>
      <c r="N3" s="44"/>
      <c r="O3" s="113"/>
      <c r="P3" s="4"/>
      <c r="Q3" s="4"/>
      <c r="R3" s="4"/>
      <c r="S3" s="4"/>
      <c r="T3" s="385"/>
      <c r="U3" s="385"/>
      <c r="V3" s="385"/>
      <c r="W3" s="385"/>
      <c r="X3" s="385"/>
      <c r="Y3" s="4"/>
      <c r="Z3" s="643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3"/>
      <c r="AO3" s="645"/>
      <c r="AP3" s="645"/>
      <c r="AQ3" s="645"/>
      <c r="AR3" s="30"/>
    </row>
    <row r="4" spans="1:44" ht="26.25">
      <c r="A4" s="4"/>
      <c r="B4" s="4"/>
      <c r="C4" s="4"/>
      <c r="D4" s="4"/>
      <c r="E4" s="4"/>
      <c r="F4" s="4"/>
      <c r="G4" s="4"/>
      <c r="H4" s="4"/>
      <c r="I4" s="4"/>
      <c r="J4" s="385"/>
      <c r="K4" s="385"/>
      <c r="L4" s="385"/>
      <c r="M4" s="34" t="s">
        <v>5</v>
      </c>
      <c r="N4" s="115"/>
      <c r="O4" s="4"/>
      <c r="P4" s="34"/>
      <c r="Q4" s="34"/>
      <c r="R4" s="34" t="s">
        <v>8</v>
      </c>
      <c r="S4" s="34"/>
      <c r="T4" s="4"/>
      <c r="U4" s="4"/>
      <c r="V4" s="4"/>
      <c r="W4" s="34" t="s">
        <v>54</v>
      </c>
      <c r="X4" s="34"/>
      <c r="Y4" s="4"/>
      <c r="Z4" s="643"/>
      <c r="AA4" s="644"/>
      <c r="AB4" s="644"/>
      <c r="AC4" s="644"/>
      <c r="AD4" s="644"/>
      <c r="AE4" s="644"/>
      <c r="AF4" s="644"/>
      <c r="AG4" s="644"/>
      <c r="AH4" s="644"/>
      <c r="AI4" s="644"/>
      <c r="AJ4" s="644"/>
      <c r="AK4" s="644"/>
      <c r="AL4" s="644"/>
      <c r="AM4" s="644"/>
      <c r="AN4" s="643"/>
      <c r="AO4" s="645"/>
      <c r="AP4" s="645"/>
      <c r="AQ4" s="645"/>
    </row>
    <row r="5" spans="1:44" ht="18.75">
      <c r="A5" s="4"/>
      <c r="B5" s="4"/>
      <c r="C5" s="4"/>
      <c r="D5" s="4"/>
      <c r="E5" s="4"/>
      <c r="F5" s="4"/>
      <c r="G5" s="4"/>
      <c r="H5" s="34" t="s">
        <v>3</v>
      </c>
      <c r="I5" s="4"/>
      <c r="J5" s="385"/>
      <c r="K5" s="385"/>
      <c r="L5" s="34"/>
      <c r="N5" s="62"/>
      <c r="O5" s="34"/>
      <c r="P5" s="44"/>
      <c r="Q5" s="34"/>
      <c r="R5" s="34"/>
      <c r="S5" s="34"/>
      <c r="T5" s="4"/>
      <c r="U5" s="4"/>
      <c r="V5" s="4"/>
      <c r="W5" s="34"/>
      <c r="X5" s="34"/>
      <c r="Y5" s="4"/>
      <c r="Z5" s="4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4"/>
      <c r="AO5" s="30"/>
      <c r="AP5" s="30"/>
      <c r="AQ5" s="30"/>
    </row>
    <row r="6" spans="1:44" ht="19.5" thickBot="1">
      <c r="A6" s="4"/>
      <c r="B6" s="4"/>
      <c r="C6" s="4"/>
      <c r="D6" s="4"/>
      <c r="E6" s="4"/>
      <c r="F6" s="4"/>
      <c r="G6" s="4"/>
      <c r="I6" s="34"/>
      <c r="J6" s="34"/>
      <c r="K6" s="34"/>
      <c r="L6" s="44"/>
      <c r="M6" s="4" t="s">
        <v>6</v>
      </c>
      <c r="N6" s="629" t="s">
        <v>108</v>
      </c>
      <c r="O6" s="44" t="s">
        <v>107</v>
      </c>
      <c r="P6" s="44"/>
      <c r="Q6" s="44"/>
      <c r="R6" s="4" t="s">
        <v>49</v>
      </c>
      <c r="S6" s="4" t="s">
        <v>108</v>
      </c>
      <c r="T6" s="44" t="s">
        <v>107</v>
      </c>
      <c r="U6" s="44"/>
      <c r="V6" s="44"/>
      <c r="W6" s="4"/>
      <c r="X6" s="4"/>
      <c r="Y6" s="4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120"/>
      <c r="AL6" s="120"/>
      <c r="AM6" s="63"/>
      <c r="AN6" s="30"/>
      <c r="AO6" s="30"/>
      <c r="AP6" s="30"/>
      <c r="AQ6" s="30"/>
    </row>
    <row r="7" spans="1:44" ht="19.5" thickBot="1">
      <c r="A7" s="190"/>
      <c r="B7" s="381" t="s">
        <v>103</v>
      </c>
      <c r="C7" s="86" t="s">
        <v>13</v>
      </c>
      <c r="D7" s="86" t="s">
        <v>104</v>
      </c>
      <c r="E7" s="4"/>
      <c r="F7" s="4"/>
      <c r="G7" s="4"/>
      <c r="H7" s="4" t="s">
        <v>4</v>
      </c>
      <c r="I7" s="4" t="s">
        <v>108</v>
      </c>
      <c r="J7" s="44" t="s">
        <v>107</v>
      </c>
      <c r="K7" s="44"/>
      <c r="L7" s="570" t="s">
        <v>2</v>
      </c>
      <c r="M7" s="622" t="str">
        <f>IF(J8=J9,"Gagnant du 1",IF(J8&gt;J9,H8,H9))</f>
        <v>Gagnant du 1</v>
      </c>
      <c r="N7" s="125">
        <f>IF(O7=O8,0,IF(O7&lt;O8,0,2))</f>
        <v>0</v>
      </c>
      <c r="O7" s="576"/>
      <c r="P7" s="44"/>
      <c r="Q7" s="570" t="s">
        <v>2</v>
      </c>
      <c r="R7" s="528" t="str">
        <f>IF(O7=O8,"Gagnant du 3",IF(O7&gt;O8,M7,M8))</f>
        <v>Gagnant du 3</v>
      </c>
      <c r="S7" s="125">
        <f>IF(T7=T8,0,IF(T7&lt;T8,0,2))</f>
        <v>0</v>
      </c>
      <c r="T7" s="576"/>
      <c r="U7" s="44"/>
      <c r="V7" s="44"/>
      <c r="W7" s="385" t="s">
        <v>9</v>
      </c>
      <c r="X7" s="4" t="s">
        <v>108</v>
      </c>
      <c r="Y7" s="44" t="s">
        <v>107</v>
      </c>
      <c r="Z7" s="63"/>
      <c r="AA7" s="63"/>
      <c r="AB7" s="113"/>
      <c r="AC7" s="113"/>
      <c r="AD7" s="113"/>
      <c r="AE7" s="113"/>
      <c r="AF7" s="113"/>
      <c r="AG7" s="113"/>
      <c r="AH7" s="113"/>
      <c r="AI7" s="61"/>
      <c r="AJ7" s="61"/>
      <c r="AK7" s="776" t="s">
        <v>129</v>
      </c>
      <c r="AL7" s="777"/>
      <c r="AM7" s="63"/>
      <c r="AN7" s="161"/>
      <c r="AO7" s="769" t="s">
        <v>113</v>
      </c>
      <c r="AP7" s="770"/>
      <c r="AQ7" s="771"/>
    </row>
    <row r="8" spans="1:44" ht="19.5" thickBot="1">
      <c r="A8" s="87">
        <v>1</v>
      </c>
      <c r="B8" s="555"/>
      <c r="C8" s="556"/>
      <c r="D8" s="89"/>
      <c r="E8" s="4"/>
      <c r="F8" s="573" t="s">
        <v>2</v>
      </c>
      <c r="G8" s="475">
        <v>1</v>
      </c>
      <c r="H8" s="286" t="str">
        <f t="shared" ref="H8:H29" si="0">IF(ISNA(MATCH(G8,$D$8:$D$29,0)),"",INDEX($B$8:$B$29,MATCH(G8,$D$8:$D$29,0)))</f>
        <v/>
      </c>
      <c r="I8" s="125">
        <f>IF(J8=J9,0,IF(J8&lt;J9,2,4))</f>
        <v>0</v>
      </c>
      <c r="J8" s="576"/>
      <c r="K8" s="44"/>
      <c r="L8" s="571">
        <v>3</v>
      </c>
      <c r="M8" s="623" t="str">
        <f>IF(J10=J11,"Gagnant du 2",IF(J10&gt;J11,H10,H11))</f>
        <v>Gagnant du 2</v>
      </c>
      <c r="N8" s="129">
        <f>IF(O7=O8,0,IF(O7&gt;O8,0,2))</f>
        <v>0</v>
      </c>
      <c r="O8" s="577"/>
      <c r="P8" s="384"/>
      <c r="Q8" s="571">
        <v>7</v>
      </c>
      <c r="R8" s="532" t="str">
        <f>IF(O9=O10,"Gagnant du 5",IF(O9&gt;O10,M9,M10))</f>
        <v>Gagnant du 5</v>
      </c>
      <c r="S8" s="129">
        <f>IF(T7=T8,0,IF(T7&gt;T8,0,2))</f>
        <v>0</v>
      </c>
      <c r="T8" s="577"/>
      <c r="U8" s="44"/>
      <c r="V8" s="570" t="s">
        <v>2</v>
      </c>
      <c r="W8" s="519" t="str">
        <f>IF(T9=T10,"Gagnant du 2",IF(T9&gt;T10,R9,R10))</f>
        <v>Gagnant du 2</v>
      </c>
      <c r="X8" s="125">
        <f>IF(Y8=Y9,0,IF(Y8&lt;Y9,0,2))</f>
        <v>0</v>
      </c>
      <c r="Y8" s="576"/>
      <c r="Z8" s="63"/>
      <c r="AA8" s="63"/>
      <c r="AB8" s="141" t="s">
        <v>111</v>
      </c>
      <c r="AC8" s="238" t="s">
        <v>189</v>
      </c>
      <c r="AD8" s="238" t="s">
        <v>190</v>
      </c>
      <c r="AE8" s="238" t="s">
        <v>191</v>
      </c>
      <c r="AF8" s="474" t="s">
        <v>227</v>
      </c>
      <c r="AG8" s="141" t="s">
        <v>193</v>
      </c>
      <c r="AH8" s="295" t="s">
        <v>109</v>
      </c>
      <c r="AI8" s="141" t="s">
        <v>110</v>
      </c>
      <c r="AJ8" s="433" t="s">
        <v>238</v>
      </c>
      <c r="AK8" s="365" t="s">
        <v>111</v>
      </c>
      <c r="AL8" s="366" t="s">
        <v>192</v>
      </c>
      <c r="AM8" s="63"/>
      <c r="AN8" s="238" t="s">
        <v>12</v>
      </c>
      <c r="AO8" s="501" t="s">
        <v>56</v>
      </c>
      <c r="AP8" s="239" t="s">
        <v>241</v>
      </c>
      <c r="AQ8" s="239" t="s">
        <v>16</v>
      </c>
    </row>
    <row r="9" spans="1:44" ht="19.5" thickBot="1">
      <c r="A9" s="94">
        <v>2</v>
      </c>
      <c r="B9" s="557"/>
      <c r="C9" s="558"/>
      <c r="D9" s="96"/>
      <c r="E9" s="4"/>
      <c r="F9" s="574">
        <v>1</v>
      </c>
      <c r="G9" s="476">
        <v>2</v>
      </c>
      <c r="H9" s="198" t="str">
        <f t="shared" si="0"/>
        <v/>
      </c>
      <c r="I9" s="129">
        <f>IF(J8=J9,0,IF(J8&gt;J9,2,4))</f>
        <v>0</v>
      </c>
      <c r="J9" s="577"/>
      <c r="K9" s="44"/>
      <c r="L9" s="570" t="s">
        <v>2</v>
      </c>
      <c r="M9" s="624" t="str">
        <f>IF(J12=J13,"Gagnant du 3",IF(J12&gt;J13,H12,H13))</f>
        <v>Gagnant du 3</v>
      </c>
      <c r="N9" s="166">
        <f>IF(O9=O10,0,IF(O9&lt;O10,0,2))</f>
        <v>0</v>
      </c>
      <c r="O9" s="576"/>
      <c r="P9" s="44"/>
      <c r="Q9" s="575" t="s">
        <v>2</v>
      </c>
      <c r="R9" s="529" t="str">
        <f>IF(O11=O12,"Gagnant du 7",IF(O11&gt;O12,M11,M12))</f>
        <v>Gagnant du 7</v>
      </c>
      <c r="S9" s="166">
        <f>IF(T9=T10,0,IF(T9&lt;T10,0,2))</f>
        <v>0</v>
      </c>
      <c r="T9" s="578"/>
      <c r="U9" s="384"/>
      <c r="V9" s="571">
        <v>4</v>
      </c>
      <c r="W9" s="520" t="str">
        <f>IF(T11=T12,"Gagnant du 6",IF(T11&gt;T12,R11,R12))</f>
        <v>Gagnant du 6</v>
      </c>
      <c r="X9" s="129">
        <f>IF(Y8=Y9,0,IF(Y8&gt;Y9,0,2))</f>
        <v>0</v>
      </c>
      <c r="Y9" s="577"/>
      <c r="Z9" s="113"/>
      <c r="AA9" s="136">
        <v>1</v>
      </c>
      <c r="AB9" s="462">
        <f>+B8</f>
        <v>0</v>
      </c>
      <c r="AC9" s="460" t="str">
        <f>IF(ISNA(VLOOKUP(AB9,$H$8:$I$29,2,0)),"",VLOOKUP(AB9,$H$8:$I$29,2,0))</f>
        <v/>
      </c>
      <c r="AD9" s="298" t="str">
        <f>IF(ISNA(VLOOKUP(AB9,$M$7:$N$32,2,0)),"",VLOOKUP(AB9,$M$7:$N$32,2,0))</f>
        <v/>
      </c>
      <c r="AE9" s="298" t="str">
        <f t="shared" ref="AE9:AE30" si="1">IF(ISNA(VLOOKUP(AB9,$R$7:$S$30,3,0)),"",VLOOKUP(AB9,$R$7:$S$30,2,0))</f>
        <v/>
      </c>
      <c r="AF9" s="300" t="str">
        <f t="shared" ref="AF9:AF30" si="2">IF(ISNA(VLOOKUP(AB9,$W$8:$X$30,2,0)),"",VLOOKUP(AB9,$W$8:$X$30,2,0))</f>
        <v/>
      </c>
      <c r="AG9" s="462">
        <f>SUM(AC9:AF9)</f>
        <v>0</v>
      </c>
      <c r="AH9" s="299">
        <f>IF(OR(AB9="",AG9=""),"",RANK(AG9,$AG$9:$AG$30)+COUNTIF(AB$9:AB$30,"&lt;="&amp;AB9+1)/10000+ROW()/100000)</f>
        <v>1.0021899999999999</v>
      </c>
      <c r="AI9" s="194">
        <f>IF(AB9="","",SMALL(AH$9:AH$30,ROWS(AL$9:AL9)))</f>
        <v>1.0003</v>
      </c>
      <c r="AJ9" s="651">
        <f>IF(AI9="","",1)</f>
        <v>1</v>
      </c>
      <c r="AK9" s="464" t="str">
        <f>IF(OR(AB9="",AG9=""),"",INDEX($AB$9:$AB$30,MATCH(AI9,$AH$9:$AH$30,0)))</f>
        <v>OFFICE</v>
      </c>
      <c r="AL9" s="452">
        <f>IF(AB9="","",INDEX($AG$9:$AG$30,MATCH(AI9,$AH$9:$AH$30,0)))</f>
        <v>0</v>
      </c>
      <c r="AM9" s="63"/>
      <c r="AN9" s="570" t="s">
        <v>115</v>
      </c>
      <c r="AO9" s="240">
        <v>2</v>
      </c>
      <c r="AP9" s="241" t="s">
        <v>242</v>
      </c>
      <c r="AQ9" s="581" t="s">
        <v>323</v>
      </c>
    </row>
    <row r="10" spans="1:44" ht="19.5" thickBot="1">
      <c r="A10" s="94">
        <v>3</v>
      </c>
      <c r="B10" s="559"/>
      <c r="C10" s="560"/>
      <c r="D10" s="96"/>
      <c r="E10" s="4"/>
      <c r="F10" s="573" t="s">
        <v>2</v>
      </c>
      <c r="G10" s="475">
        <v>3</v>
      </c>
      <c r="H10" s="202" t="str">
        <f t="shared" si="0"/>
        <v/>
      </c>
      <c r="I10" s="125">
        <f>IF(J10=J11,0,IF(J10&lt;J11,2,4))</f>
        <v>0</v>
      </c>
      <c r="J10" s="578"/>
      <c r="K10" s="384"/>
      <c r="L10" s="571">
        <v>5</v>
      </c>
      <c r="M10" s="625" t="str">
        <f>IF(J14=J15,"Gagnant du 4",IF(J14&gt;J15,H14,H15))</f>
        <v>Gagnant du 4</v>
      </c>
      <c r="N10" s="129">
        <f>IF(O9=O10,0,IF(O9&gt;O10,0,2))</f>
        <v>0</v>
      </c>
      <c r="O10" s="577"/>
      <c r="P10" s="44"/>
      <c r="Q10" s="572">
        <v>2</v>
      </c>
      <c r="R10" s="542" t="str">
        <f>IF(O13=O14,"Gagnant du 1",IF(O13&gt;O14,M13,M14))</f>
        <v>Gagnant du 1</v>
      </c>
      <c r="S10" s="129">
        <f>IF(T9=T10,0,IF(T9&gt;T10,0,2))</f>
        <v>0</v>
      </c>
      <c r="T10" s="579"/>
      <c r="U10" s="44"/>
      <c r="V10" s="44"/>
      <c r="W10" s="131"/>
      <c r="X10" s="647"/>
      <c r="Y10" s="113"/>
      <c r="Z10" s="61"/>
      <c r="AA10" s="137">
        <v>2</v>
      </c>
      <c r="AB10" s="440">
        <f>+B9</f>
        <v>0</v>
      </c>
      <c r="AC10" s="155" t="str">
        <f t="shared" ref="AC10:AC30" si="3">IF(ISNA(VLOOKUP(AB10,$H$8:$I$29,2,0)),"",VLOOKUP(AB10,$H$8:$I$29,2,0))</f>
        <v/>
      </c>
      <c r="AD10" s="210" t="str">
        <f t="shared" ref="AD10:AD30" si="4">IF(ISNA(VLOOKUP(AB10,$M$7:$N$32,2,0)),"",VLOOKUP(AB10,$M$7:$N$32,2,0))</f>
        <v/>
      </c>
      <c r="AE10" s="210" t="str">
        <f t="shared" si="1"/>
        <v/>
      </c>
      <c r="AF10" s="350" t="str">
        <f t="shared" si="2"/>
        <v/>
      </c>
      <c r="AG10" s="440">
        <f t="shared" ref="AG10:AG30" si="5">SUM(AC10:AF10)</f>
        <v>0</v>
      </c>
      <c r="AH10" s="299">
        <f t="shared" ref="AH10:AH30" si="6">IF(OR(AB10="",AG10=""),"",RANK(AG10,$AG$9:$AG$30)+COUNTIF(AB$9:AB$30,"&lt;="&amp;AB10+1)/10000+ROW()/100000)</f>
        <v>1.0022</v>
      </c>
      <c r="AI10" s="194">
        <f>IF(AB10="","",SMALL(AH$9:AH$30,ROWS(AL$9:AL10)))</f>
        <v>1.0021899999999999</v>
      </c>
      <c r="AJ10" s="652">
        <f>IF(AI10="","",IF(AND(AL9=AL10),$AJ9,$AJ$6+1))</f>
        <v>1</v>
      </c>
      <c r="AK10" s="465">
        <f t="shared" ref="AK10:AK30" si="7">IF(OR(AB10="",AG10=""),"",INDEX($AB$9:$AB$30,MATCH(AI10,$AH$9:$AH$30,0)))</f>
        <v>0</v>
      </c>
      <c r="AL10" s="453">
        <f t="shared" ref="AL10:AL30" si="8">IF(AB10="","",INDEX($AG$9:$AG$30,MATCH(AI10,$AH$9:$AH$30,0)))</f>
        <v>0</v>
      </c>
      <c r="AM10" s="63"/>
      <c r="AN10" s="575" t="s">
        <v>262</v>
      </c>
      <c r="AO10" s="251">
        <v>2</v>
      </c>
      <c r="AP10" s="675" t="s">
        <v>338</v>
      </c>
      <c r="AQ10" s="603">
        <v>9</v>
      </c>
    </row>
    <row r="11" spans="1:44" ht="19.5" thickBot="1">
      <c r="A11" s="94">
        <v>4</v>
      </c>
      <c r="B11" s="557"/>
      <c r="C11" s="558"/>
      <c r="D11" s="96"/>
      <c r="E11" s="4"/>
      <c r="F11" s="574">
        <v>2</v>
      </c>
      <c r="G11" s="476">
        <v>4</v>
      </c>
      <c r="H11" s="203" t="str">
        <f t="shared" si="0"/>
        <v/>
      </c>
      <c r="I11" s="129">
        <f>IF(J10=J11,0,IF(J10&gt;J11,2,4))</f>
        <v>0</v>
      </c>
      <c r="J11" s="579"/>
      <c r="K11" s="44"/>
      <c r="L11" s="570" t="s">
        <v>2</v>
      </c>
      <c r="M11" s="624" t="str">
        <f>IF(J16=J17,"Gagnant du 5",IF(J16&gt;J17,H16,H17))</f>
        <v>Gagnant du 5</v>
      </c>
      <c r="N11" s="127">
        <f>IF(O11=O12,0,IF(O11&lt;O12,0,2))</f>
        <v>0</v>
      </c>
      <c r="O11" s="576"/>
      <c r="P11" s="384"/>
      <c r="Q11" s="570" t="s">
        <v>2</v>
      </c>
      <c r="R11" s="519" t="str">
        <f>IF(O15=O16,"Gagnant du 11",IF(O15&gt;O16,M15,M16))</f>
        <v>Gagnant du 11</v>
      </c>
      <c r="S11" s="127">
        <f>IF(T11=T12,0,IF(T11&lt;T12,0,2))</f>
        <v>0</v>
      </c>
      <c r="T11" s="576"/>
      <c r="U11" s="44"/>
      <c r="V11" s="723"/>
      <c r="W11" s="519" t="str">
        <f>IF(T7=T8,"Gagnant du 2",IF(T7&gt;T8,R7,R8))</f>
        <v>Gagnant du 2</v>
      </c>
      <c r="X11" s="152">
        <v>1</v>
      </c>
      <c r="Y11" s="121">
        <v>1</v>
      </c>
      <c r="Z11" s="61"/>
      <c r="AA11" s="137">
        <v>3</v>
      </c>
      <c r="AB11" s="440">
        <f t="shared" ref="AB11:AB29" si="9">+B10</f>
        <v>0</v>
      </c>
      <c r="AC11" s="155" t="str">
        <f t="shared" si="3"/>
        <v/>
      </c>
      <c r="AD11" s="210" t="str">
        <f t="shared" si="4"/>
        <v/>
      </c>
      <c r="AE11" s="210" t="str">
        <f t="shared" si="1"/>
        <v/>
      </c>
      <c r="AF11" s="350" t="str">
        <f t="shared" si="2"/>
        <v/>
      </c>
      <c r="AG11" s="440">
        <f t="shared" si="5"/>
        <v>0</v>
      </c>
      <c r="AH11" s="299">
        <f t="shared" si="6"/>
        <v>1.00221</v>
      </c>
      <c r="AI11" s="194">
        <f>IF(AB11="","",SMALL(AH$9:AH$30,ROWS(AL$9:AL11)))</f>
        <v>1.0022</v>
      </c>
      <c r="AJ11" s="652">
        <f>IF(AI11="","",IF(AND(AL10=AL11),$AJ10,$AJ$6+2))</f>
        <v>1</v>
      </c>
      <c r="AK11" s="465">
        <f t="shared" si="7"/>
        <v>0</v>
      </c>
      <c r="AL11" s="453">
        <f t="shared" si="8"/>
        <v>0</v>
      </c>
      <c r="AM11" s="115"/>
      <c r="AN11" s="580" t="s">
        <v>15</v>
      </c>
      <c r="AO11" s="242">
        <v>2</v>
      </c>
      <c r="AP11" s="243" t="s">
        <v>337</v>
      </c>
      <c r="AQ11" s="582" t="s">
        <v>311</v>
      </c>
    </row>
    <row r="12" spans="1:44" ht="19.5" thickBot="1">
      <c r="A12" s="94">
        <v>5</v>
      </c>
      <c r="B12" s="559"/>
      <c r="C12" s="560"/>
      <c r="D12" s="96"/>
      <c r="E12" s="4"/>
      <c r="F12" s="573" t="s">
        <v>2</v>
      </c>
      <c r="G12" s="475">
        <v>5</v>
      </c>
      <c r="H12" s="182" t="str">
        <f t="shared" si="0"/>
        <v/>
      </c>
      <c r="I12" s="125">
        <f>IF(J12=J13,0,IF(J12&lt;J13,2,4))</f>
        <v>0</v>
      </c>
      <c r="J12" s="576"/>
      <c r="K12" s="44"/>
      <c r="L12" s="571">
        <v>7</v>
      </c>
      <c r="M12" s="625" t="str">
        <f>IF(J18=J19,"Gagnant du 6",IF(J18&gt;J19,H18,H19))</f>
        <v>Gagnant du 6</v>
      </c>
      <c r="N12" s="129">
        <f>IF(O11=O12,0,IF(O11&gt;O12,0,2))</f>
        <v>0</v>
      </c>
      <c r="O12" s="577"/>
      <c r="P12" s="44"/>
      <c r="Q12" s="571">
        <v>6</v>
      </c>
      <c r="R12" s="520" t="str">
        <f>IF(O17=O18,"Gagnant du 9",IF(O17&gt;O18,M17,M18))</f>
        <v>Gagnant du 10</v>
      </c>
      <c r="S12" s="129">
        <f>IF(T11=T12,0,IF(T11&gt;T12,0,2))</f>
        <v>0</v>
      </c>
      <c r="T12" s="577"/>
      <c r="U12" s="384"/>
      <c r="V12" s="282"/>
      <c r="W12" s="118" t="s">
        <v>105</v>
      </c>
      <c r="X12" s="124">
        <v>0</v>
      </c>
      <c r="Y12" s="122"/>
      <c r="Z12" s="113"/>
      <c r="AA12" s="137">
        <v>4</v>
      </c>
      <c r="AB12" s="440">
        <f t="shared" si="9"/>
        <v>0</v>
      </c>
      <c r="AC12" s="155" t="str">
        <f t="shared" si="3"/>
        <v/>
      </c>
      <c r="AD12" s="210" t="str">
        <f t="shared" si="4"/>
        <v/>
      </c>
      <c r="AE12" s="210" t="str">
        <f t="shared" si="1"/>
        <v/>
      </c>
      <c r="AF12" s="350" t="str">
        <f t="shared" si="2"/>
        <v/>
      </c>
      <c r="AG12" s="440">
        <f t="shared" si="5"/>
        <v>0</v>
      </c>
      <c r="AH12" s="299">
        <f t="shared" si="6"/>
        <v>1.0022199999999999</v>
      </c>
      <c r="AI12" s="194">
        <f>IF(AB12="","",SMALL(AH$9:AH$30,ROWS(AL$9:AL12)))</f>
        <v>1.00221</v>
      </c>
      <c r="AJ12" s="652">
        <f>IF(AI12="","",IF(AND(AL11=AL12),$AJ11,$AJ$6+3))</f>
        <v>1</v>
      </c>
      <c r="AK12" s="465">
        <f t="shared" si="7"/>
        <v>0</v>
      </c>
      <c r="AL12" s="453">
        <f t="shared" si="8"/>
        <v>0</v>
      </c>
      <c r="AM12" s="115"/>
      <c r="AN12" s="580" t="s">
        <v>114</v>
      </c>
      <c r="AO12" s="242">
        <v>2</v>
      </c>
      <c r="AP12" s="243" t="s">
        <v>263</v>
      </c>
      <c r="AQ12" s="582" t="s">
        <v>316</v>
      </c>
    </row>
    <row r="13" spans="1:44" ht="19.5" thickBot="1">
      <c r="A13" s="94">
        <v>6</v>
      </c>
      <c r="B13" s="557"/>
      <c r="C13" s="558"/>
      <c r="D13" s="96"/>
      <c r="E13" s="4"/>
      <c r="F13" s="574">
        <v>3</v>
      </c>
      <c r="G13" s="476">
        <v>6</v>
      </c>
      <c r="H13" s="198" t="str">
        <f t="shared" si="0"/>
        <v/>
      </c>
      <c r="I13" s="129">
        <f>IF(J12=J13,0,IF(J12&gt;J13,2,4))</f>
        <v>0</v>
      </c>
      <c r="J13" s="577"/>
      <c r="K13" s="384"/>
      <c r="L13" s="570" t="s">
        <v>2</v>
      </c>
      <c r="M13" s="624" t="str">
        <f>IF(J20=J21,"Gagnant du 7",IF(J20&gt;J21,H20,H21))</f>
        <v>Gagnant du 7</v>
      </c>
      <c r="N13" s="166">
        <f>IF(O13=O14,0,IF(O13&lt;O14,0,2))</f>
        <v>0</v>
      </c>
      <c r="O13" s="576"/>
      <c r="P13" s="44"/>
      <c r="Q13" s="61"/>
      <c r="R13" s="221"/>
      <c r="S13" s="147"/>
      <c r="T13" s="61"/>
      <c r="U13" s="44"/>
      <c r="W13" s="64"/>
      <c r="Z13" s="113"/>
      <c r="AA13" s="137">
        <v>5</v>
      </c>
      <c r="AB13" s="440">
        <f t="shared" si="9"/>
        <v>0</v>
      </c>
      <c r="AC13" s="155" t="str">
        <f t="shared" si="3"/>
        <v/>
      </c>
      <c r="AD13" s="210" t="str">
        <f t="shared" si="4"/>
        <v/>
      </c>
      <c r="AE13" s="210" t="str">
        <f t="shared" si="1"/>
        <v/>
      </c>
      <c r="AF13" s="350" t="str">
        <f t="shared" si="2"/>
        <v/>
      </c>
      <c r="AG13" s="440">
        <f t="shared" si="5"/>
        <v>0</v>
      </c>
      <c r="AH13" s="299">
        <f t="shared" si="6"/>
        <v>1.00223</v>
      </c>
      <c r="AI13" s="194">
        <f>IF(AB13="","",SMALL(AH$9:AH$30,ROWS(AL$9:AL13)))</f>
        <v>1.0022199999999999</v>
      </c>
      <c r="AJ13" s="652">
        <f>IF(AI13="","",IF(AND(AL12=AL13),$AJ12,$AJ$6+4))</f>
        <v>1</v>
      </c>
      <c r="AK13" s="465">
        <f t="shared" si="7"/>
        <v>0</v>
      </c>
      <c r="AL13" s="453">
        <f t="shared" si="8"/>
        <v>0</v>
      </c>
      <c r="AM13" s="63"/>
      <c r="AN13" s="580" t="s">
        <v>114</v>
      </c>
      <c r="AO13" s="242">
        <v>2</v>
      </c>
      <c r="AP13" s="243" t="s">
        <v>263</v>
      </c>
      <c r="AQ13" s="582" t="s">
        <v>316</v>
      </c>
    </row>
    <row r="14" spans="1:44" ht="19.5" thickBot="1">
      <c r="A14" s="94">
        <v>7</v>
      </c>
      <c r="B14" s="559"/>
      <c r="C14" s="560"/>
      <c r="D14" s="96"/>
      <c r="E14" s="4"/>
      <c r="F14" s="573" t="s">
        <v>2</v>
      </c>
      <c r="G14" s="475">
        <v>7</v>
      </c>
      <c r="H14" s="202" t="str">
        <f t="shared" si="0"/>
        <v/>
      </c>
      <c r="I14" s="125">
        <f>IF(J14=J15,0,IF(J14&lt;J15,2,4))</f>
        <v>0</v>
      </c>
      <c r="J14" s="578"/>
      <c r="K14" s="44"/>
      <c r="L14" s="572">
        <v>1</v>
      </c>
      <c r="M14" s="625" t="str">
        <f>IF(J22=J23,"Gagnant du 8",IF(J22&gt;J23,H22,H23))</f>
        <v>Gagnant du 8</v>
      </c>
      <c r="N14" s="129">
        <f>IF(O13=O14,0,IF(O13&gt;O14,0,2))</f>
        <v>0</v>
      </c>
      <c r="O14" s="579"/>
      <c r="P14" s="44"/>
      <c r="Q14" s="44"/>
      <c r="R14" s="612"/>
      <c r="S14" s="131"/>
      <c r="T14" s="44"/>
      <c r="U14" s="44"/>
      <c r="W14" s="64"/>
      <c r="Z14" s="61"/>
      <c r="AA14" s="137">
        <v>6</v>
      </c>
      <c r="AB14" s="440">
        <f t="shared" si="9"/>
        <v>0</v>
      </c>
      <c r="AC14" s="155" t="str">
        <f t="shared" si="3"/>
        <v/>
      </c>
      <c r="AD14" s="210" t="str">
        <f t="shared" si="4"/>
        <v/>
      </c>
      <c r="AE14" s="210" t="str">
        <f t="shared" si="1"/>
        <v/>
      </c>
      <c r="AF14" s="350" t="str">
        <f t="shared" si="2"/>
        <v/>
      </c>
      <c r="AG14" s="440">
        <f t="shared" si="5"/>
        <v>0</v>
      </c>
      <c r="AH14" s="299">
        <f t="shared" si="6"/>
        <v>1.00224</v>
      </c>
      <c r="AI14" s="194">
        <f>IF(AB14="","",SMALL(AH$9:AH$30,ROWS(AL$9:AL14)))</f>
        <v>1.00223</v>
      </c>
      <c r="AJ14" s="652">
        <f>IF(AI14="","",IF(AND(AL13=AL14),$AJ13,$AJ$6+5))</f>
        <v>1</v>
      </c>
      <c r="AK14" s="465">
        <f t="shared" si="7"/>
        <v>0</v>
      </c>
      <c r="AL14" s="453">
        <f t="shared" si="8"/>
        <v>0</v>
      </c>
      <c r="AM14" s="63"/>
      <c r="AN14" s="580" t="s">
        <v>114</v>
      </c>
      <c r="AO14" s="250">
        <v>2</v>
      </c>
      <c r="AP14" s="402" t="s">
        <v>264</v>
      </c>
      <c r="AQ14" s="583" t="s">
        <v>316</v>
      </c>
    </row>
    <row r="15" spans="1:44" ht="19.5" thickBot="1">
      <c r="A15" s="94">
        <v>8</v>
      </c>
      <c r="B15" s="557"/>
      <c r="C15" s="558"/>
      <c r="D15" s="96"/>
      <c r="E15" s="4"/>
      <c r="F15" s="574">
        <v>4</v>
      </c>
      <c r="G15" s="476">
        <v>8</v>
      </c>
      <c r="H15" s="203" t="str">
        <f t="shared" si="0"/>
        <v/>
      </c>
      <c r="I15" s="129">
        <f>IF(J14=J15,0,IF(J14&gt;J15,2,4))</f>
        <v>0</v>
      </c>
      <c r="J15" s="579"/>
      <c r="K15" s="44"/>
      <c r="L15" s="570" t="s">
        <v>2</v>
      </c>
      <c r="M15" s="624" t="str">
        <f>IF(J24=J25,"Gagnant du 9",IF(J24&gt;J25,H24,H25))</f>
        <v>Gagnant du 9</v>
      </c>
      <c r="N15" s="166">
        <f>IF(O15=O16,0,IF(O15&lt;O16,0,2))</f>
        <v>0</v>
      </c>
      <c r="O15" s="576"/>
      <c r="P15" s="44"/>
      <c r="Q15" s="44"/>
      <c r="R15" s="147" t="s">
        <v>51</v>
      </c>
      <c r="S15" s="131"/>
      <c r="T15" s="44"/>
      <c r="U15" s="44"/>
      <c r="W15" s="64"/>
      <c r="Z15" s="113"/>
      <c r="AA15" s="137">
        <v>7</v>
      </c>
      <c r="AB15" s="440">
        <f t="shared" si="9"/>
        <v>0</v>
      </c>
      <c r="AC15" s="155" t="str">
        <f t="shared" si="3"/>
        <v/>
      </c>
      <c r="AD15" s="210" t="str">
        <f t="shared" si="4"/>
        <v/>
      </c>
      <c r="AE15" s="210" t="str">
        <f t="shared" si="1"/>
        <v/>
      </c>
      <c r="AF15" s="350" t="str">
        <f t="shared" si="2"/>
        <v/>
      </c>
      <c r="AG15" s="440">
        <f t="shared" si="5"/>
        <v>0</v>
      </c>
      <c r="AH15" s="299">
        <f t="shared" si="6"/>
        <v>1.0022500000000001</v>
      </c>
      <c r="AI15" s="194">
        <f>IF(AB15="","",SMALL(AH$9:AH$30,ROWS(AL$9:AL15)))</f>
        <v>1.00224</v>
      </c>
      <c r="AJ15" s="652">
        <f>IF(AI15="","",IF(AND(AL14=AL15),$AJ14,$AJ$6+6))</f>
        <v>1</v>
      </c>
      <c r="AK15" s="465">
        <f t="shared" si="7"/>
        <v>0</v>
      </c>
      <c r="AL15" s="453">
        <f t="shared" si="8"/>
        <v>0</v>
      </c>
      <c r="AM15" s="115"/>
      <c r="AN15" s="483" t="s">
        <v>118</v>
      </c>
      <c r="AO15" s="240">
        <v>2</v>
      </c>
      <c r="AP15" s="245" t="s">
        <v>247</v>
      </c>
      <c r="AQ15" s="543" t="s">
        <v>316</v>
      </c>
    </row>
    <row r="16" spans="1:44" ht="19.5" thickBot="1">
      <c r="A16" s="94">
        <v>9</v>
      </c>
      <c r="B16" s="559"/>
      <c r="C16" s="560"/>
      <c r="D16" s="96"/>
      <c r="E16" s="4"/>
      <c r="F16" s="573" t="s">
        <v>2</v>
      </c>
      <c r="G16" s="475">
        <v>9</v>
      </c>
      <c r="H16" s="182" t="str">
        <f t="shared" si="0"/>
        <v/>
      </c>
      <c r="I16" s="125">
        <f>IF(J16=J17,0,IF(J16&lt;J17,2,4))</f>
        <v>0</v>
      </c>
      <c r="J16" s="576"/>
      <c r="K16" s="44"/>
      <c r="L16" s="572">
        <v>11</v>
      </c>
      <c r="M16" s="63" t="str">
        <f>IF(J28=J29,"Gagnant du 11",IF(J28&gt;J29,H28,H29))</f>
        <v/>
      </c>
      <c r="N16" s="129">
        <f>IF(O15=O16,0,IF(O15&gt;O16,0,2))</f>
        <v>0</v>
      </c>
      <c r="O16" s="579"/>
      <c r="P16" s="44"/>
      <c r="Q16" s="522" t="s">
        <v>2</v>
      </c>
      <c r="R16" s="528" t="str">
        <f>IF(O23=O24,"Gagnant du 2",IF(O23&gt;O24,M23,M24))</f>
        <v>Gagnant du 2</v>
      </c>
      <c r="S16" s="171">
        <f>IF(T16=T17,0,IF(T16&lt;T17,0,1))</f>
        <v>0</v>
      </c>
      <c r="T16" s="631"/>
      <c r="U16" s="44"/>
      <c r="V16" s="44"/>
      <c r="W16" s="147" t="s">
        <v>10</v>
      </c>
      <c r="X16" s="131"/>
      <c r="Y16" s="44"/>
      <c r="Z16" s="61"/>
      <c r="AA16" s="137">
        <v>8</v>
      </c>
      <c r="AB16" s="440">
        <f t="shared" si="9"/>
        <v>0</v>
      </c>
      <c r="AC16" s="155" t="str">
        <f t="shared" si="3"/>
        <v/>
      </c>
      <c r="AD16" s="210" t="str">
        <f t="shared" si="4"/>
        <v/>
      </c>
      <c r="AE16" s="210" t="str">
        <f t="shared" si="1"/>
        <v/>
      </c>
      <c r="AF16" s="350" t="str">
        <f t="shared" si="2"/>
        <v/>
      </c>
      <c r="AG16" s="440">
        <f t="shared" si="5"/>
        <v>0</v>
      </c>
      <c r="AH16" s="299">
        <f t="shared" si="6"/>
        <v>1.0022599999999999</v>
      </c>
      <c r="AI16" s="194">
        <f>IF(AB16="","",SMALL(AH$9:AH$30,ROWS(AL$9:AL16)))</f>
        <v>1.0022500000000001</v>
      </c>
      <c r="AJ16" s="652">
        <f>IF(AI16="","",IF(AND(AL15=AL16),$AJ15,$AJ$6+7))</f>
        <v>1</v>
      </c>
      <c r="AK16" s="465">
        <f t="shared" si="7"/>
        <v>0</v>
      </c>
      <c r="AL16" s="453">
        <f t="shared" si="8"/>
        <v>0</v>
      </c>
      <c r="AM16" s="115"/>
      <c r="AN16" s="509" t="s">
        <v>265</v>
      </c>
      <c r="AO16" s="251">
        <v>2</v>
      </c>
      <c r="AP16" s="675" t="s">
        <v>266</v>
      </c>
      <c r="AQ16" s="638">
        <v>4.5</v>
      </c>
    </row>
    <row r="17" spans="1:44" ht="19.5" thickBot="1">
      <c r="A17" s="94">
        <v>10</v>
      </c>
      <c r="B17" s="557"/>
      <c r="C17" s="558"/>
      <c r="D17" s="96"/>
      <c r="E17" s="4"/>
      <c r="F17" s="574">
        <v>5</v>
      </c>
      <c r="G17" s="476">
        <v>10</v>
      </c>
      <c r="H17" s="198" t="str">
        <f t="shared" si="0"/>
        <v/>
      </c>
      <c r="I17" s="129">
        <f>IF(J16=J17,0,IF(J16&gt;J17,2,4))</f>
        <v>0</v>
      </c>
      <c r="J17" s="577"/>
      <c r="K17" s="44"/>
      <c r="L17" s="570" t="s">
        <v>2</v>
      </c>
      <c r="M17" s="622" t="str">
        <f>IF(J26=J27,"Gagnant du 10",IF(J26&gt;J27,H26,H27))</f>
        <v>Gagnant du 10</v>
      </c>
      <c r="N17" s="123">
        <v>1</v>
      </c>
      <c r="O17" s="121">
        <v>1</v>
      </c>
      <c r="P17" s="44"/>
      <c r="Q17" s="524">
        <v>5</v>
      </c>
      <c r="R17" s="531" t="str">
        <f>IF(O25=O26,"Gagnant du 10",IF(O25&gt;O26,M25,M26))</f>
        <v>Gagnant du 10</v>
      </c>
      <c r="S17" s="156">
        <f>IF(T16=T17,0,IF(T16&gt;T17,0,1))</f>
        <v>0</v>
      </c>
      <c r="T17" s="632"/>
      <c r="U17" s="44"/>
      <c r="V17" s="522" t="s">
        <v>2</v>
      </c>
      <c r="W17" s="528" t="str">
        <f>IF(T18=T19,"Gagnant du 3",IF(T18&gt;T19,R18,R19))</f>
        <v>Gagnant du 3</v>
      </c>
      <c r="X17" s="171">
        <f>IF(Y17=Y18,0,IF(Y17&lt;Y18,0,1))</f>
        <v>0</v>
      </c>
      <c r="Y17" s="631"/>
      <c r="Z17" s="61"/>
      <c r="AA17" s="137">
        <v>9</v>
      </c>
      <c r="AB17" s="440">
        <f t="shared" si="9"/>
        <v>0</v>
      </c>
      <c r="AC17" s="155" t="str">
        <f t="shared" si="3"/>
        <v/>
      </c>
      <c r="AD17" s="210" t="str">
        <f t="shared" si="4"/>
        <v/>
      </c>
      <c r="AE17" s="210" t="str">
        <f t="shared" si="1"/>
        <v/>
      </c>
      <c r="AF17" s="350" t="str">
        <f t="shared" si="2"/>
        <v/>
      </c>
      <c r="AG17" s="440">
        <f t="shared" si="5"/>
        <v>0</v>
      </c>
      <c r="AH17" s="299">
        <f t="shared" si="6"/>
        <v>1.00227</v>
      </c>
      <c r="AI17" s="194">
        <f>IF(AB17="","",SMALL(AH$9:AH$30,ROWS(AL$9:AL17)))</f>
        <v>1.0022599999999999</v>
      </c>
      <c r="AJ17" s="652">
        <f>IF(AI17="","",IF(AND(AL16=AL17),$AJ16,$AJ$6+8))</f>
        <v>1</v>
      </c>
      <c r="AK17" s="465">
        <f t="shared" si="7"/>
        <v>0</v>
      </c>
      <c r="AL17" s="453">
        <f t="shared" si="8"/>
        <v>0</v>
      </c>
      <c r="AM17" s="63"/>
      <c r="AN17" s="487" t="s">
        <v>20</v>
      </c>
      <c r="AO17" s="242">
        <v>2</v>
      </c>
      <c r="AP17" s="675" t="s">
        <v>274</v>
      </c>
      <c r="AQ17" s="544">
        <v>4.5</v>
      </c>
    </row>
    <row r="18" spans="1:44" ht="19.5" thickBot="1">
      <c r="A18" s="94">
        <v>11</v>
      </c>
      <c r="B18" s="559"/>
      <c r="C18" s="560"/>
      <c r="D18" s="96"/>
      <c r="E18" s="4"/>
      <c r="F18" s="573" t="s">
        <v>2</v>
      </c>
      <c r="G18" s="475">
        <v>11</v>
      </c>
      <c r="H18" s="202" t="str">
        <f t="shared" si="0"/>
        <v/>
      </c>
      <c r="I18" s="125">
        <f>IF(J18=J19,0,IF(J18&lt;J19,2,4))</f>
        <v>0</v>
      </c>
      <c r="J18" s="578"/>
      <c r="K18" s="44"/>
      <c r="L18" s="282">
        <v>9</v>
      </c>
      <c r="M18" s="436" t="s">
        <v>105</v>
      </c>
      <c r="N18" s="124">
        <v>0</v>
      </c>
      <c r="O18" s="122"/>
      <c r="P18" s="44"/>
      <c r="Q18" s="536" t="s">
        <v>2</v>
      </c>
      <c r="R18" s="521" t="str">
        <f>IF(O27=O28,"Gagnant du 4",IF(O27&gt;O28,M27,M28))</f>
        <v>Gagnant du 4</v>
      </c>
      <c r="S18" s="146">
        <f>IF(T18=T19,0,IF(T18&lt;T19,0,1))</f>
        <v>0</v>
      </c>
      <c r="T18" s="635"/>
      <c r="U18" s="44"/>
      <c r="V18" s="524">
        <v>6</v>
      </c>
      <c r="W18" s="534" t="str">
        <f>IF(T20=T21,"Gagnant du 8",IF(T20&gt;T21,R20,R21))</f>
        <v>Gagnant du 8</v>
      </c>
      <c r="X18" s="156">
        <f>IF(Y17=Y18,0,IF(Y17&gt;Y18,0,1))</f>
        <v>0</v>
      </c>
      <c r="Y18" s="632"/>
      <c r="Z18" s="113"/>
      <c r="AA18" s="137">
        <v>10</v>
      </c>
      <c r="AB18" s="440">
        <f t="shared" si="9"/>
        <v>0</v>
      </c>
      <c r="AC18" s="155" t="str">
        <f t="shared" si="3"/>
        <v/>
      </c>
      <c r="AD18" s="210" t="str">
        <f t="shared" si="4"/>
        <v/>
      </c>
      <c r="AE18" s="210" t="str">
        <f t="shared" si="1"/>
        <v/>
      </c>
      <c r="AF18" s="350" t="str">
        <f t="shared" si="2"/>
        <v/>
      </c>
      <c r="AG18" s="440">
        <f t="shared" si="5"/>
        <v>0</v>
      </c>
      <c r="AH18" s="299">
        <f t="shared" si="6"/>
        <v>1.0022800000000001</v>
      </c>
      <c r="AI18" s="194">
        <f>IF(AB18="","",SMALL(AH$9:AH$30,ROWS(AL$9:AL18)))</f>
        <v>1.00227</v>
      </c>
      <c r="AJ18" s="652">
        <f>IF(AI18="","",IF(AND(AL17=AL18),$AJ17,$AJ$6+9))</f>
        <v>1</v>
      </c>
      <c r="AK18" s="465">
        <f t="shared" si="7"/>
        <v>0</v>
      </c>
      <c r="AL18" s="453">
        <f t="shared" si="8"/>
        <v>0</v>
      </c>
      <c r="AM18" s="63"/>
      <c r="AN18" s="487" t="s">
        <v>65</v>
      </c>
      <c r="AO18" s="242">
        <v>2</v>
      </c>
      <c r="AP18" s="243" t="s">
        <v>245</v>
      </c>
      <c r="AQ18" s="544">
        <v>4</v>
      </c>
    </row>
    <row r="19" spans="1:44" ht="19.5" thickBot="1">
      <c r="A19" s="94">
        <v>12</v>
      </c>
      <c r="B19" s="557"/>
      <c r="C19" s="558"/>
      <c r="D19" s="96"/>
      <c r="E19" s="4"/>
      <c r="F19" s="574">
        <v>6</v>
      </c>
      <c r="G19" s="476">
        <v>12</v>
      </c>
      <c r="H19" s="203" t="str">
        <f t="shared" si="0"/>
        <v/>
      </c>
      <c r="I19" s="129">
        <f>IF(J18=J19,0,IF(J18&gt;J19,2,4))</f>
        <v>0</v>
      </c>
      <c r="J19" s="579"/>
      <c r="K19" s="44"/>
      <c r="M19" s="626"/>
      <c r="P19" s="44"/>
      <c r="Q19" s="526">
        <v>3</v>
      </c>
      <c r="R19" s="530" t="str">
        <f>IF(O29=O30,"Gagnant du 6",IF(O29&gt;O30,M29,M30))</f>
        <v>Gagnant du 6</v>
      </c>
      <c r="S19" s="220">
        <f>IF(T18=T19,0,IF(T18&gt;T19,0,1))</f>
        <v>0</v>
      </c>
      <c r="T19" s="634"/>
      <c r="U19" s="44"/>
      <c r="W19" s="64"/>
      <c r="Z19" s="113"/>
      <c r="AA19" s="137">
        <v>11</v>
      </c>
      <c r="AB19" s="440">
        <f t="shared" si="9"/>
        <v>0</v>
      </c>
      <c r="AC19" s="155" t="str">
        <f t="shared" si="3"/>
        <v/>
      </c>
      <c r="AD19" s="210" t="str">
        <f t="shared" si="4"/>
        <v/>
      </c>
      <c r="AE19" s="210" t="str">
        <f t="shared" si="1"/>
        <v/>
      </c>
      <c r="AF19" s="350" t="str">
        <f t="shared" si="2"/>
        <v/>
      </c>
      <c r="AG19" s="440">
        <f t="shared" si="5"/>
        <v>0</v>
      </c>
      <c r="AH19" s="299">
        <f t="shared" si="6"/>
        <v>1.0022899999999999</v>
      </c>
      <c r="AI19" s="194">
        <f>IF(AB19="","",SMALL(AH$9:AH$30,ROWS(AL$9:AL19)))</f>
        <v>1.0022800000000001</v>
      </c>
      <c r="AJ19" s="652">
        <f>IF(AI19="","",IF(AND(AL18=AL19),$AJ18,$AJ$6+10))</f>
        <v>1</v>
      </c>
      <c r="AK19" s="465">
        <f t="shared" si="7"/>
        <v>0</v>
      </c>
      <c r="AL19" s="453">
        <f t="shared" si="8"/>
        <v>0</v>
      </c>
      <c r="AM19" s="63"/>
      <c r="AN19" s="488" t="s">
        <v>65</v>
      </c>
      <c r="AO19" s="262">
        <v>2</v>
      </c>
      <c r="AP19" s="402" t="s">
        <v>278</v>
      </c>
      <c r="AQ19" s="544">
        <v>3</v>
      </c>
    </row>
    <row r="20" spans="1:44" ht="19.5" thickBot="1">
      <c r="A20" s="94">
        <v>13</v>
      </c>
      <c r="B20" s="559"/>
      <c r="C20" s="560"/>
      <c r="D20" s="96"/>
      <c r="E20" s="4"/>
      <c r="F20" s="573" t="s">
        <v>2</v>
      </c>
      <c r="G20" s="475">
        <v>13</v>
      </c>
      <c r="H20" s="182" t="str">
        <f t="shared" si="0"/>
        <v/>
      </c>
      <c r="I20" s="125">
        <f>IF(J20=J21,0,IF(J20&lt;J21,2,4))</f>
        <v>0</v>
      </c>
      <c r="J20" s="576"/>
      <c r="K20" s="44"/>
      <c r="L20" s="44"/>
      <c r="M20" s="167" t="s">
        <v>7</v>
      </c>
      <c r="N20" s="167"/>
      <c r="O20" s="44"/>
      <c r="P20" s="44"/>
      <c r="Q20" s="522" t="s">
        <v>2</v>
      </c>
      <c r="R20" s="535" t="str">
        <f>IF(O21=O22,"Gagnant du 8",IF(O21&gt;O22,M21,M22))</f>
        <v>Gagnant du 8</v>
      </c>
      <c r="S20" s="152">
        <v>0.5</v>
      </c>
      <c r="T20" s="121">
        <v>1</v>
      </c>
      <c r="U20" s="44"/>
      <c r="V20" s="723"/>
      <c r="W20" s="519" t="str">
        <f>IF(T16=T17,"Gagnant du 2",IF(T16&gt;T17,R16,R17))</f>
        <v>Gagnant du 2</v>
      </c>
      <c r="X20" s="123">
        <v>0.5</v>
      </c>
      <c r="Y20" s="121">
        <v>1</v>
      </c>
      <c r="Z20" s="113"/>
      <c r="AA20" s="137">
        <v>12</v>
      </c>
      <c r="AB20" s="440">
        <f t="shared" si="9"/>
        <v>0</v>
      </c>
      <c r="AC20" s="155" t="str">
        <f t="shared" si="3"/>
        <v/>
      </c>
      <c r="AD20" s="210" t="str">
        <f t="shared" si="4"/>
        <v/>
      </c>
      <c r="AE20" s="210" t="str">
        <f t="shared" si="1"/>
        <v/>
      </c>
      <c r="AF20" s="350" t="str">
        <f t="shared" si="2"/>
        <v/>
      </c>
      <c r="AG20" s="440">
        <f t="shared" si="5"/>
        <v>0</v>
      </c>
      <c r="AH20" s="299">
        <f t="shared" si="6"/>
        <v>1.0023</v>
      </c>
      <c r="AI20" s="194">
        <f>IF(AB20="","",SMALL(AH$9:AH$30,ROWS(AL$9:AL20)))</f>
        <v>1.0022899999999999</v>
      </c>
      <c r="AJ20" s="652">
        <f>IF(AI20="","",IF(AND(AL19=AL20),$AJ19,$AJ$6+11))</f>
        <v>1</v>
      </c>
      <c r="AK20" s="465">
        <f t="shared" si="7"/>
        <v>0</v>
      </c>
      <c r="AL20" s="453">
        <f t="shared" si="8"/>
        <v>0</v>
      </c>
      <c r="AM20" s="115"/>
      <c r="AN20" s="522" t="s">
        <v>117</v>
      </c>
      <c r="AO20" s="240">
        <v>2</v>
      </c>
      <c r="AP20" s="245" t="s">
        <v>249</v>
      </c>
      <c r="AQ20" s="550">
        <v>5</v>
      </c>
    </row>
    <row r="21" spans="1:44" ht="19.5" thickBot="1">
      <c r="A21" s="94">
        <v>14</v>
      </c>
      <c r="B21" s="557"/>
      <c r="C21" s="558"/>
      <c r="D21" s="96"/>
      <c r="E21" s="4"/>
      <c r="F21" s="574">
        <v>7</v>
      </c>
      <c r="G21" s="476">
        <v>14</v>
      </c>
      <c r="H21" s="198" t="str">
        <f t="shared" si="0"/>
        <v/>
      </c>
      <c r="I21" s="129">
        <f>IF(J20=J21,0,IF(J20&gt;J21,2,4))</f>
        <v>0</v>
      </c>
      <c r="J21" s="577"/>
      <c r="K21" s="44"/>
      <c r="L21" s="522" t="s">
        <v>2</v>
      </c>
      <c r="M21" s="528" t="str">
        <f>IF(J8=J9,"Perdant du 1",IF(J8&lt;J9,H8,H9))</f>
        <v>Perdant du 1</v>
      </c>
      <c r="N21" s="146">
        <f>IF(O21=O22,0,IF(O21&lt;O22,0,1))</f>
        <v>0</v>
      </c>
      <c r="O21" s="631"/>
      <c r="P21" s="44"/>
      <c r="Q21" s="282">
        <v>8</v>
      </c>
      <c r="R21" s="619" t="s">
        <v>105</v>
      </c>
      <c r="S21" s="225"/>
      <c r="T21" s="122"/>
      <c r="U21" s="44"/>
      <c r="V21" s="282"/>
      <c r="W21" s="118" t="s">
        <v>105</v>
      </c>
      <c r="X21" s="124"/>
      <c r="Y21" s="122"/>
      <c r="Z21" s="113"/>
      <c r="AA21" s="137">
        <v>13</v>
      </c>
      <c r="AB21" s="440">
        <f t="shared" si="9"/>
        <v>0</v>
      </c>
      <c r="AC21" s="155" t="str">
        <f t="shared" si="3"/>
        <v/>
      </c>
      <c r="AD21" s="210" t="str">
        <f t="shared" si="4"/>
        <v/>
      </c>
      <c r="AE21" s="210" t="str">
        <f t="shared" si="1"/>
        <v/>
      </c>
      <c r="AF21" s="350" t="str">
        <f t="shared" si="2"/>
        <v/>
      </c>
      <c r="AG21" s="440">
        <f t="shared" si="5"/>
        <v>0</v>
      </c>
      <c r="AH21" s="299">
        <f t="shared" si="6"/>
        <v>1.00231</v>
      </c>
      <c r="AI21" s="194">
        <f>IF(AB21="","",SMALL(AH$9:AH$30,ROWS(AL$9:AL21)))</f>
        <v>1.0023</v>
      </c>
      <c r="AJ21" s="652">
        <f>IF(AI21="","",IF(AND(AL20=AL21),$AJ20,$AJ$6+12))</f>
        <v>1</v>
      </c>
      <c r="AK21" s="465">
        <f t="shared" si="7"/>
        <v>0</v>
      </c>
      <c r="AL21" s="453">
        <f t="shared" si="8"/>
        <v>0</v>
      </c>
      <c r="AM21" s="115"/>
      <c r="AN21" s="639" t="s">
        <v>265</v>
      </c>
      <c r="AO21" s="251">
        <v>2</v>
      </c>
      <c r="AP21" s="676" t="s">
        <v>267</v>
      </c>
      <c r="AQ21" s="551">
        <v>4.5</v>
      </c>
    </row>
    <row r="22" spans="1:44" ht="19.5" thickBot="1">
      <c r="A22" s="94">
        <v>15</v>
      </c>
      <c r="B22" s="559"/>
      <c r="C22" s="560"/>
      <c r="D22" s="96"/>
      <c r="E22" s="4"/>
      <c r="F22" s="573" t="s">
        <v>2</v>
      </c>
      <c r="G22" s="475">
        <v>15</v>
      </c>
      <c r="H22" s="182" t="str">
        <f t="shared" si="0"/>
        <v/>
      </c>
      <c r="I22" s="125">
        <f>IF(J22=J23,0,IF(J22&lt;J23,2,4))</f>
        <v>0</v>
      </c>
      <c r="J22" s="576"/>
      <c r="K22" s="44"/>
      <c r="L22" s="524">
        <v>8</v>
      </c>
      <c r="M22" s="521" t="str">
        <f>IF(J10=J11,"Perdant du 2",IF(J10&lt;J11,H10,H11))</f>
        <v>Perdant du 2</v>
      </c>
      <c r="N22" s="129">
        <f>IF(O21=O22,0,IF(O21&gt;O22,0,1))</f>
        <v>0</v>
      </c>
      <c r="O22" s="632"/>
      <c r="P22" s="44"/>
      <c r="Q22" s="44"/>
      <c r="R22" s="131"/>
      <c r="S22" s="131"/>
      <c r="T22" s="44"/>
      <c r="U22" s="44"/>
      <c r="W22" s="64"/>
      <c r="Z22" s="61"/>
      <c r="AA22" s="137">
        <v>14</v>
      </c>
      <c r="AB22" s="440">
        <f t="shared" si="9"/>
        <v>0</v>
      </c>
      <c r="AC22" s="155" t="str">
        <f t="shared" si="3"/>
        <v/>
      </c>
      <c r="AD22" s="210" t="str">
        <f t="shared" si="4"/>
        <v/>
      </c>
      <c r="AE22" s="210" t="str">
        <f t="shared" si="1"/>
        <v/>
      </c>
      <c r="AF22" s="350" t="str">
        <f t="shared" si="2"/>
        <v/>
      </c>
      <c r="AG22" s="440">
        <f t="shared" si="5"/>
        <v>0</v>
      </c>
      <c r="AH22" s="299">
        <f t="shared" si="6"/>
        <v>1.0023200000000001</v>
      </c>
      <c r="AI22" s="194">
        <f>IF(AB22="","",SMALL(AH$9:AH$30,ROWS(AL$9:AL22)))</f>
        <v>1.00231</v>
      </c>
      <c r="AJ22" s="652">
        <f>IF(AI22="","",IF(AND(AL21=AL22),$AJ21,$AJ$6+13))</f>
        <v>1</v>
      </c>
      <c r="AK22" s="465">
        <f t="shared" si="7"/>
        <v>0</v>
      </c>
      <c r="AL22" s="453">
        <f t="shared" si="8"/>
        <v>0</v>
      </c>
      <c r="AM22" s="63"/>
      <c r="AN22" s="547" t="s">
        <v>18</v>
      </c>
      <c r="AO22" s="242">
        <v>2</v>
      </c>
      <c r="AP22" s="675" t="s">
        <v>260</v>
      </c>
      <c r="AQ22" s="551">
        <v>3.5</v>
      </c>
    </row>
    <row r="23" spans="1:44" ht="19.5" thickBot="1">
      <c r="A23" s="94">
        <v>16</v>
      </c>
      <c r="B23" s="545"/>
      <c r="C23" s="558"/>
      <c r="D23" s="96"/>
      <c r="E23" s="4"/>
      <c r="F23" s="574">
        <v>8</v>
      </c>
      <c r="G23" s="476">
        <v>16</v>
      </c>
      <c r="H23" s="198" t="str">
        <f t="shared" si="0"/>
        <v/>
      </c>
      <c r="I23" s="129">
        <f>IF(J22=J23,0,IF(J22&gt;J23,2,4))</f>
        <v>0</v>
      </c>
      <c r="J23" s="577"/>
      <c r="K23" s="44"/>
      <c r="L23" s="522" t="s">
        <v>2</v>
      </c>
      <c r="M23" s="528" t="str">
        <f>IF(J12=J13,"Perdant du 3",IF(J12&lt;I13,H12,H13))</f>
        <v>Perdant du 3</v>
      </c>
      <c r="N23" s="146">
        <f>IF(O23=O24,0,IF(O23&lt;O24,0,1))</f>
        <v>0</v>
      </c>
      <c r="O23" s="631"/>
      <c r="P23" s="44"/>
      <c r="Q23" s="44"/>
      <c r="R23" s="64"/>
      <c r="S23" s="131"/>
      <c r="T23" s="44"/>
      <c r="U23" s="44"/>
      <c r="V23" s="4"/>
      <c r="W23" s="131"/>
      <c r="X23" s="135"/>
      <c r="Y23" s="4"/>
      <c r="Z23" s="61"/>
      <c r="AA23" s="137">
        <v>15</v>
      </c>
      <c r="AB23" s="440">
        <f t="shared" si="9"/>
        <v>0</v>
      </c>
      <c r="AC23" s="155" t="str">
        <f t="shared" si="3"/>
        <v/>
      </c>
      <c r="AD23" s="210" t="str">
        <f t="shared" si="4"/>
        <v/>
      </c>
      <c r="AE23" s="210" t="str">
        <f t="shared" si="1"/>
        <v/>
      </c>
      <c r="AF23" s="350" t="str">
        <f t="shared" si="2"/>
        <v/>
      </c>
      <c r="AG23" s="440">
        <f t="shared" si="5"/>
        <v>0</v>
      </c>
      <c r="AH23" s="299">
        <f t="shared" si="6"/>
        <v>1.0023299999999999</v>
      </c>
      <c r="AI23" s="194">
        <f>IF(AB23="","",SMALL(AH$9:AH$30,ROWS(AL$9:AL23)))</f>
        <v>1.0023200000000001</v>
      </c>
      <c r="AJ23" s="652">
        <f>IF(AI23="","",IF(AND(AL22=AL23),$AJ22,$AJ$6+14))</f>
        <v>1</v>
      </c>
      <c r="AK23" s="465">
        <f t="shared" si="7"/>
        <v>0</v>
      </c>
      <c r="AL23" s="453">
        <f t="shared" si="8"/>
        <v>0</v>
      </c>
      <c r="AM23" s="63"/>
      <c r="AN23" s="548" t="s">
        <v>64</v>
      </c>
      <c r="AO23" s="242">
        <v>1</v>
      </c>
      <c r="AP23" s="243" t="s">
        <v>268</v>
      </c>
      <c r="AQ23" s="552">
        <v>3</v>
      </c>
    </row>
    <row r="24" spans="1:44" ht="19.5" thickBot="1">
      <c r="A24" s="94">
        <v>17</v>
      </c>
      <c r="B24" s="559"/>
      <c r="C24" s="560"/>
      <c r="D24" s="223"/>
      <c r="E24" s="4"/>
      <c r="F24" s="573" t="s">
        <v>2</v>
      </c>
      <c r="G24" s="475">
        <v>17</v>
      </c>
      <c r="H24" s="182" t="str">
        <f t="shared" si="0"/>
        <v/>
      </c>
      <c r="I24" s="125">
        <f>IF(J24=J25,0,IF(J24&lt;J25,2,4))</f>
        <v>0</v>
      </c>
      <c r="J24" s="576"/>
      <c r="K24" s="44"/>
      <c r="L24" s="524">
        <v>2</v>
      </c>
      <c r="M24" s="520" t="str">
        <f>IF(J14=J15,"Perdant du 4",IF(I14&lt;J15,H14,H15))</f>
        <v>Perdant du 4</v>
      </c>
      <c r="N24" s="129">
        <f>IF(O23=O24,0,IF(O23&gt;O24,0,1))</f>
        <v>0</v>
      </c>
      <c r="O24" s="632"/>
      <c r="P24" s="44"/>
      <c r="Q24" s="44"/>
      <c r="R24" s="147" t="s">
        <v>53</v>
      </c>
      <c r="S24" s="131"/>
      <c r="T24" s="44"/>
      <c r="U24" s="44"/>
      <c r="V24" s="4"/>
      <c r="W24" s="131"/>
      <c r="X24" s="135"/>
      <c r="Y24" s="4"/>
      <c r="Z24" s="63"/>
      <c r="AA24" s="137">
        <v>16</v>
      </c>
      <c r="AB24" s="440">
        <f t="shared" si="9"/>
        <v>0</v>
      </c>
      <c r="AC24" s="155" t="str">
        <f t="shared" si="3"/>
        <v/>
      </c>
      <c r="AD24" s="210" t="str">
        <f t="shared" si="4"/>
        <v/>
      </c>
      <c r="AE24" s="210" t="str">
        <f t="shared" si="1"/>
        <v/>
      </c>
      <c r="AF24" s="350" t="str">
        <f t="shared" si="2"/>
        <v/>
      </c>
      <c r="AG24" s="440">
        <f t="shared" si="5"/>
        <v>0</v>
      </c>
      <c r="AH24" s="299">
        <f t="shared" si="6"/>
        <v>1.00234</v>
      </c>
      <c r="AI24" s="194">
        <f>IF(AB24="","",SMALL(AH$9:AH$30,ROWS(AL$9:AL24)))</f>
        <v>1.0023299999999999</v>
      </c>
      <c r="AJ24" s="652">
        <f>IF(AI24="","",IF(AND(AL23=AL24),$AJ23,$AJ$6+15))</f>
        <v>1</v>
      </c>
      <c r="AK24" s="465">
        <f t="shared" si="7"/>
        <v>0</v>
      </c>
      <c r="AL24" s="453">
        <f t="shared" si="8"/>
        <v>0</v>
      </c>
      <c r="AM24" s="63"/>
      <c r="AN24" s="549" t="s">
        <v>64</v>
      </c>
      <c r="AO24" s="250">
        <v>2</v>
      </c>
      <c r="AP24" s="247" t="s">
        <v>269</v>
      </c>
      <c r="AQ24" s="553">
        <v>3</v>
      </c>
    </row>
    <row r="25" spans="1:44" ht="19.5" thickBot="1">
      <c r="A25" s="94">
        <v>18</v>
      </c>
      <c r="B25" s="545"/>
      <c r="C25" s="558"/>
      <c r="D25" s="96"/>
      <c r="E25" s="4"/>
      <c r="F25" s="574">
        <v>9</v>
      </c>
      <c r="G25" s="476">
        <v>18</v>
      </c>
      <c r="H25" s="198" t="str">
        <f t="shared" si="0"/>
        <v/>
      </c>
      <c r="I25" s="129">
        <f>IF(J24=J25,0,IF(J24&gt;J25,2,4))</f>
        <v>0</v>
      </c>
      <c r="J25" s="577"/>
      <c r="K25" s="44"/>
      <c r="L25" s="630" t="s">
        <v>2</v>
      </c>
      <c r="M25" s="528" t="str">
        <f>IF(J16=J17,"Perdant du 5",IF(J16&lt;J17,H16,H17))</f>
        <v>Perdant du 5</v>
      </c>
      <c r="N25" s="146">
        <f>IF(O25=O26,0,IF(O25&lt;O26,0,1))</f>
        <v>0</v>
      </c>
      <c r="O25" s="633"/>
      <c r="P25" s="44"/>
      <c r="Q25" s="483" t="s">
        <v>2</v>
      </c>
      <c r="R25" s="528" t="str">
        <f>IF(O7=O8,"Perdant du 3",IF(O7&lt;O8,M7,M8))</f>
        <v>Perdant du 3</v>
      </c>
      <c r="S25" s="125">
        <f>IF(T25=T26,0,IF(T25&lt;T26,0,1))</f>
        <v>0</v>
      </c>
      <c r="T25" s="511"/>
      <c r="U25" s="44"/>
      <c r="V25" s="44"/>
      <c r="W25" s="147" t="s">
        <v>11</v>
      </c>
      <c r="X25" s="131"/>
      <c r="Y25" s="44"/>
      <c r="Z25" s="63"/>
      <c r="AA25" s="137">
        <v>17</v>
      </c>
      <c r="AB25" s="440">
        <f t="shared" si="9"/>
        <v>0</v>
      </c>
      <c r="AC25" s="155" t="str">
        <f t="shared" si="3"/>
        <v/>
      </c>
      <c r="AD25" s="210" t="str">
        <f t="shared" si="4"/>
        <v/>
      </c>
      <c r="AE25" s="210" t="str">
        <f t="shared" si="1"/>
        <v/>
      </c>
      <c r="AF25" s="350" t="str">
        <f t="shared" si="2"/>
        <v/>
      </c>
      <c r="AG25" s="440">
        <f t="shared" si="5"/>
        <v>0</v>
      </c>
      <c r="AH25" s="299">
        <f t="shared" si="6"/>
        <v>1.0023500000000001</v>
      </c>
      <c r="AI25" s="194">
        <f>IF(AB25="","",SMALL(AH$9:AH$30,ROWS(AL$9:AL25)))</f>
        <v>1.00234</v>
      </c>
      <c r="AJ25" s="652">
        <f>IF(AI25="","",IF(AND(AL24=AL25),$AJ24,$AJ$6+16))</f>
        <v>1</v>
      </c>
      <c r="AK25" s="465">
        <f t="shared" si="7"/>
        <v>0</v>
      </c>
      <c r="AL25" s="453">
        <f t="shared" si="8"/>
        <v>0</v>
      </c>
      <c r="AM25" s="63"/>
      <c r="AN25" s="518" t="s">
        <v>116</v>
      </c>
      <c r="AO25" s="254">
        <v>2</v>
      </c>
      <c r="AP25" s="245" t="s">
        <v>246</v>
      </c>
      <c r="AQ25" s="136">
        <f t="shared" ref="AQ25:AQ29" si="10">SUM(AO25:AP25)</f>
        <v>2</v>
      </c>
    </row>
    <row r="26" spans="1:44" ht="19.5" thickBot="1">
      <c r="A26" s="94">
        <v>19</v>
      </c>
      <c r="B26" s="545"/>
      <c r="C26" s="558"/>
      <c r="D26" s="96"/>
      <c r="E26" s="4"/>
      <c r="F26" s="573" t="s">
        <v>2</v>
      </c>
      <c r="G26" s="475">
        <v>19</v>
      </c>
      <c r="H26" s="182" t="str">
        <f t="shared" si="0"/>
        <v/>
      </c>
      <c r="I26" s="128">
        <f>IF(J26=J27,0,IF(J26&lt;J27,2,4))</f>
        <v>0</v>
      </c>
      <c r="J26" s="576"/>
      <c r="K26" s="44"/>
      <c r="L26" s="630">
        <v>10</v>
      </c>
      <c r="M26" s="520" t="str">
        <f>IF(J18=J19,"Perdant du 6",IF(I18&lt;J19,H18,H19))</f>
        <v>Perdant du 6</v>
      </c>
      <c r="N26" s="129">
        <f>IF(O25=O26,0,IF(O25&gt;O26,0,1))</f>
        <v>0</v>
      </c>
      <c r="O26" s="633"/>
      <c r="P26" s="44"/>
      <c r="Q26" s="484">
        <v>4</v>
      </c>
      <c r="R26" s="520" t="str">
        <f>IF(O9=O10,"Perdant du 5",IF(O9&lt;O10,M9,M10))</f>
        <v>Perdant du 5</v>
      </c>
      <c r="S26" s="129">
        <f>IF(T25=T26,0,IF(T25&gt;T26,0,1))</f>
        <v>0</v>
      </c>
      <c r="T26" s="512"/>
      <c r="U26" s="44"/>
      <c r="V26" s="483" t="s">
        <v>2</v>
      </c>
      <c r="W26" s="535" t="str">
        <f>IF(T27=T28,"Gagnant du 4",IF(T27&gt;T28,R27,R28))</f>
        <v>Gagnant du 4</v>
      </c>
      <c r="X26" s="171">
        <f>IF(Y26=Y27,0,IF(Y26&lt;Y27,0,1))</f>
        <v>0</v>
      </c>
      <c r="Y26" s="511"/>
      <c r="Z26" s="63"/>
      <c r="AA26" s="137">
        <v>18</v>
      </c>
      <c r="AB26" s="440">
        <f t="shared" si="9"/>
        <v>0</v>
      </c>
      <c r="AC26" s="155" t="str">
        <f t="shared" si="3"/>
        <v/>
      </c>
      <c r="AD26" s="210" t="str">
        <f t="shared" si="4"/>
        <v/>
      </c>
      <c r="AE26" s="210" t="str">
        <f t="shared" si="1"/>
        <v/>
      </c>
      <c r="AF26" s="350" t="str">
        <f t="shared" si="2"/>
        <v/>
      </c>
      <c r="AG26" s="440">
        <f t="shared" si="5"/>
        <v>0</v>
      </c>
      <c r="AH26" s="299">
        <f t="shared" si="6"/>
        <v>1.0023599999999999</v>
      </c>
      <c r="AI26" s="194">
        <f>IF(AB26="","",SMALL(AH$9:AH$30,ROWS(AL$9:AL26)))</f>
        <v>1.0023500000000001</v>
      </c>
      <c r="AJ26" s="652">
        <f>IF(AI26="","",IF(AND(AL25=AL26),$AJ25,$AJ$6+17))</f>
        <v>1</v>
      </c>
      <c r="AK26" s="465">
        <f t="shared" si="7"/>
        <v>0</v>
      </c>
      <c r="AL26" s="453">
        <f t="shared" si="8"/>
        <v>0</v>
      </c>
      <c r="AM26" s="63"/>
      <c r="AN26" s="563" t="s">
        <v>116</v>
      </c>
      <c r="AO26" s="255">
        <v>2</v>
      </c>
      <c r="AP26" s="243" t="s">
        <v>246</v>
      </c>
      <c r="AQ26" s="137">
        <f t="shared" si="10"/>
        <v>2</v>
      </c>
    </row>
    <row r="27" spans="1:44" ht="19.5" thickBot="1">
      <c r="A27" s="94">
        <v>20</v>
      </c>
      <c r="B27" s="545"/>
      <c r="C27" s="558"/>
      <c r="D27" s="96"/>
      <c r="E27" s="4"/>
      <c r="F27" s="574">
        <v>10</v>
      </c>
      <c r="G27" s="476">
        <v>20</v>
      </c>
      <c r="H27" s="198" t="str">
        <f t="shared" si="0"/>
        <v/>
      </c>
      <c r="I27" s="130">
        <f>IF(J26=J27,0,IF(J26&gt;J27,2,4))</f>
        <v>0</v>
      </c>
      <c r="J27" s="577"/>
      <c r="K27" s="44"/>
      <c r="L27" s="522" t="s">
        <v>2</v>
      </c>
      <c r="M27" s="528" t="str">
        <f>IF(J20=J21,"Perdant du 7",IF(J20&lt;J21,H20,H21))</f>
        <v>Perdant du 7</v>
      </c>
      <c r="N27" s="146">
        <f>IF(O27=O28,0,IF(O27&lt;O28,0,1))</f>
        <v>0</v>
      </c>
      <c r="O27" s="631"/>
      <c r="P27" s="44"/>
      <c r="Q27" s="509" t="s">
        <v>2</v>
      </c>
      <c r="R27" s="521" t="str">
        <f>IF(O11=O12,"Perdant du 7",IF(O11&lt;O12,M11,M12))</f>
        <v>Perdant du 7</v>
      </c>
      <c r="S27" s="166">
        <f>IF(T27=T28,0,IF(T27&lt;T28,0,1))</f>
        <v>0</v>
      </c>
      <c r="T27" s="636"/>
      <c r="U27" s="44"/>
      <c r="V27" s="484">
        <v>2</v>
      </c>
      <c r="W27" s="520" t="str">
        <f>IF(T29=T30,"Gagnant du 9",IF(T29&gt;T30,R29,R30))</f>
        <v>Perdant du 1</v>
      </c>
      <c r="X27" s="156">
        <f>IF(Y26=Y27,0,IF(Y26&gt;Y27,0,1))</f>
        <v>0</v>
      </c>
      <c r="Y27" s="512"/>
      <c r="Z27" s="113"/>
      <c r="AA27" s="137">
        <v>19</v>
      </c>
      <c r="AB27" s="440">
        <f t="shared" si="9"/>
        <v>0</v>
      </c>
      <c r="AC27" s="155" t="str">
        <f t="shared" si="3"/>
        <v/>
      </c>
      <c r="AD27" s="210" t="str">
        <f t="shared" si="4"/>
        <v/>
      </c>
      <c r="AE27" s="210" t="str">
        <f t="shared" si="1"/>
        <v/>
      </c>
      <c r="AF27" s="350" t="str">
        <f t="shared" si="2"/>
        <v/>
      </c>
      <c r="AG27" s="440">
        <f t="shared" si="5"/>
        <v>0</v>
      </c>
      <c r="AH27" s="299">
        <f t="shared" si="6"/>
        <v>1.00237</v>
      </c>
      <c r="AI27" s="194">
        <f>IF(AB27="","",SMALL(AH$9:AH$30,ROWS(AL$9:AL27)))</f>
        <v>1.0023599999999999</v>
      </c>
      <c r="AJ27" s="652">
        <f>IF(AI27="","",IF(AND(AL26=AL27),$AJ26,$AJ$6+18))</f>
        <v>1</v>
      </c>
      <c r="AK27" s="465">
        <f t="shared" si="7"/>
        <v>0</v>
      </c>
      <c r="AL27" s="453">
        <f t="shared" si="8"/>
        <v>0</v>
      </c>
      <c r="AM27" s="63"/>
      <c r="AN27" s="563" t="s">
        <v>116</v>
      </c>
      <c r="AO27" s="255">
        <v>2</v>
      </c>
      <c r="AP27" s="243" t="s">
        <v>246</v>
      </c>
      <c r="AQ27" s="137">
        <f t="shared" ref="AQ27" si="11">SUM(AO27:AP27)</f>
        <v>2</v>
      </c>
    </row>
    <row r="28" spans="1:44" ht="19.5" thickBot="1">
      <c r="A28" s="94">
        <v>21</v>
      </c>
      <c r="B28" s="545"/>
      <c r="C28" s="558"/>
      <c r="D28" s="96"/>
      <c r="E28" s="4"/>
      <c r="F28" s="590" t="s">
        <v>2</v>
      </c>
      <c r="G28" s="475">
        <v>21</v>
      </c>
      <c r="H28" s="182" t="str">
        <f t="shared" si="0"/>
        <v/>
      </c>
      <c r="I28" s="397">
        <v>3</v>
      </c>
      <c r="J28" s="121">
        <v>1</v>
      </c>
      <c r="K28" s="44"/>
      <c r="L28" s="526">
        <v>4</v>
      </c>
      <c r="M28" s="527" t="str">
        <f>IF(J22=J23,"Perdant du 8",IF(J22&lt;J23,H22,H23))</f>
        <v>Perdant du 8</v>
      </c>
      <c r="N28" s="129">
        <f>IF(O27=O28,0,IF(O27&gt;O28,0,1))</f>
        <v>0</v>
      </c>
      <c r="O28" s="634"/>
      <c r="P28" s="44"/>
      <c r="Q28" s="598">
        <v>1</v>
      </c>
      <c r="R28" s="628" t="str">
        <f>IF(O15=O16,"Perdant du 11",IF(O15&lt;O16,M15,M16))</f>
        <v>Perdant du 11</v>
      </c>
      <c r="S28" s="226">
        <f>IF(T27=T28,0,IF(T27&gt;T28,0,1))</f>
        <v>0</v>
      </c>
      <c r="T28" s="637"/>
      <c r="U28" s="44"/>
      <c r="W28" s="64"/>
      <c r="Z28" s="113"/>
      <c r="AA28" s="137">
        <v>20</v>
      </c>
      <c r="AB28" s="440">
        <f t="shared" si="9"/>
        <v>0</v>
      </c>
      <c r="AC28" s="155" t="str">
        <f t="shared" si="3"/>
        <v/>
      </c>
      <c r="AD28" s="210" t="str">
        <f t="shared" si="4"/>
        <v/>
      </c>
      <c r="AE28" s="210" t="str">
        <f t="shared" si="1"/>
        <v/>
      </c>
      <c r="AF28" s="350" t="str">
        <f t="shared" si="2"/>
        <v/>
      </c>
      <c r="AG28" s="440">
        <f t="shared" si="5"/>
        <v>0</v>
      </c>
      <c r="AH28" s="299">
        <f t="shared" si="6"/>
        <v>1.00238</v>
      </c>
      <c r="AI28" s="194">
        <f>IF(AB28="","",SMALL(AH$9:AH$30,ROWS(AL$9:AL28)))</f>
        <v>1.00237</v>
      </c>
      <c r="AJ28" s="652">
        <f>IF(AI28="","",IF(AND(AL27=AL28),$AJ27,$AJ$6+19))</f>
        <v>1</v>
      </c>
      <c r="AK28" s="465">
        <f t="shared" si="7"/>
        <v>0</v>
      </c>
      <c r="AL28" s="453">
        <f t="shared" si="8"/>
        <v>0</v>
      </c>
      <c r="AM28" s="63"/>
      <c r="AN28" s="563" t="s">
        <v>116</v>
      </c>
      <c r="AO28" s="255">
        <v>2</v>
      </c>
      <c r="AP28" s="243" t="s">
        <v>246</v>
      </c>
      <c r="AQ28" s="137">
        <f t="shared" si="10"/>
        <v>2</v>
      </c>
      <c r="AR28" s="30"/>
    </row>
    <row r="29" spans="1:44" ht="19.5" thickBot="1">
      <c r="A29" s="110">
        <v>22</v>
      </c>
      <c r="B29" s="601" t="s">
        <v>105</v>
      </c>
      <c r="C29" s="602"/>
      <c r="D29" s="600">
        <v>22</v>
      </c>
      <c r="E29" s="4"/>
      <c r="F29" s="97">
        <v>11</v>
      </c>
      <c r="G29" s="476">
        <v>22</v>
      </c>
      <c r="H29" s="205" t="str">
        <f t="shared" si="0"/>
        <v>OFFICE</v>
      </c>
      <c r="I29" s="398"/>
      <c r="J29" s="122"/>
      <c r="K29" s="44"/>
      <c r="L29" s="522" t="s">
        <v>2</v>
      </c>
      <c r="M29" s="528" t="str">
        <f>IF(J24=J25,"Perdant du 9",IF(J24&lt;J25,H24,H25))</f>
        <v>Perdant du 9</v>
      </c>
      <c r="N29" s="146">
        <f>IF(O29=O30,0,IF(O29&lt;O30,0,1))</f>
        <v>0</v>
      </c>
      <c r="O29" s="631"/>
      <c r="P29" s="4"/>
      <c r="Q29" s="483" t="s">
        <v>2</v>
      </c>
      <c r="R29" s="63" t="str">
        <f>IF(O13=O14,"Perdant du 1",IF(O13&lt;O14,M13,M14))</f>
        <v>Perdant du 1</v>
      </c>
      <c r="S29" s="123">
        <v>0.5</v>
      </c>
      <c r="T29" s="121">
        <v>1</v>
      </c>
      <c r="U29" s="44"/>
      <c r="V29" s="723"/>
      <c r="W29" s="519" t="str">
        <f>IF(T25=T26,"Gagnant du 4",IF(T25&gt;T26,R25,R26))</f>
        <v>Gagnant du 4</v>
      </c>
      <c r="X29" s="123">
        <v>0.5</v>
      </c>
      <c r="Y29" s="121">
        <v>1</v>
      </c>
      <c r="Z29" s="113"/>
      <c r="AA29" s="137">
        <v>21</v>
      </c>
      <c r="AB29" s="440">
        <f t="shared" si="9"/>
        <v>0</v>
      </c>
      <c r="AC29" s="155" t="str">
        <f t="shared" si="3"/>
        <v/>
      </c>
      <c r="AD29" s="210" t="str">
        <f t="shared" si="4"/>
        <v/>
      </c>
      <c r="AE29" s="210" t="str">
        <f t="shared" si="1"/>
        <v/>
      </c>
      <c r="AF29" s="350" t="str">
        <f t="shared" si="2"/>
        <v/>
      </c>
      <c r="AG29" s="440">
        <f t="shared" si="5"/>
        <v>0</v>
      </c>
      <c r="AH29" s="299">
        <f t="shared" si="6"/>
        <v>1.0023899999999999</v>
      </c>
      <c r="AI29" s="194">
        <f>IF(AB29="","",SMALL(AH$9:AH$30,ROWS(AL$9:AL29)))</f>
        <v>1.00238</v>
      </c>
      <c r="AJ29" s="652">
        <f>IF(AI29="","",IF(AND(AL28=AL29),$AJ28,$AJ$6+20))</f>
        <v>1</v>
      </c>
      <c r="AK29" s="465">
        <f t="shared" si="7"/>
        <v>0</v>
      </c>
      <c r="AL29" s="453">
        <f t="shared" si="8"/>
        <v>0</v>
      </c>
      <c r="AM29" s="63"/>
      <c r="AN29" s="142" t="s">
        <v>116</v>
      </c>
      <c r="AO29" s="253">
        <v>2</v>
      </c>
      <c r="AP29" s="247" t="s">
        <v>246</v>
      </c>
      <c r="AQ29" s="138">
        <f t="shared" si="10"/>
        <v>2</v>
      </c>
      <c r="AR29" s="30"/>
    </row>
    <row r="30" spans="1:44" ht="19.5" thickBot="1">
      <c r="A30" s="4"/>
      <c r="B30" s="4"/>
      <c r="C30" s="4"/>
      <c r="D30" s="4"/>
      <c r="E30" s="4"/>
      <c r="F30" s="4"/>
      <c r="G30" s="4"/>
      <c r="H30" s="135"/>
      <c r="I30" s="135"/>
      <c r="J30" s="383"/>
      <c r="K30" s="4"/>
      <c r="L30" s="524">
        <v>6</v>
      </c>
      <c r="M30" s="534" t="str">
        <f>IF(J26=J27,"Perdant du 10",IF(J26&lt;J27,H26,H27))</f>
        <v>Perdant du 10</v>
      </c>
      <c r="N30" s="156">
        <f>IF(O29=O30,0,IF(O29&gt;O30,0,1))</f>
        <v>0</v>
      </c>
      <c r="O30" s="632"/>
      <c r="P30" s="119"/>
      <c r="Q30" s="282">
        <v>9</v>
      </c>
      <c r="R30" s="118" t="s">
        <v>105</v>
      </c>
      <c r="S30" s="124"/>
      <c r="T30" s="122"/>
      <c r="U30" s="44"/>
      <c r="V30" s="282"/>
      <c r="W30" s="118" t="s">
        <v>105</v>
      </c>
      <c r="X30" s="124"/>
      <c r="Y30" s="122"/>
      <c r="Z30" s="113"/>
      <c r="AA30" s="170">
        <v>22</v>
      </c>
      <c r="AB30" s="427" t="str">
        <f>+B29</f>
        <v>OFFICE</v>
      </c>
      <c r="AC30" s="461">
        <f t="shared" si="3"/>
        <v>0</v>
      </c>
      <c r="AD30" s="379">
        <f t="shared" si="4"/>
        <v>0</v>
      </c>
      <c r="AE30" s="379">
        <f t="shared" si="1"/>
        <v>0</v>
      </c>
      <c r="AF30" s="423">
        <f t="shared" si="2"/>
        <v>0</v>
      </c>
      <c r="AG30" s="427">
        <f t="shared" si="5"/>
        <v>0</v>
      </c>
      <c r="AH30" s="299">
        <f t="shared" si="6"/>
        <v>1.0003</v>
      </c>
      <c r="AI30" s="194">
        <f>IF(AB30="","",SMALL(AH$9:AH$30,ROWS(AL$9:AL30)))</f>
        <v>1.0023899999999999</v>
      </c>
      <c r="AJ30" s="673">
        <v>21</v>
      </c>
      <c r="AK30" s="466">
        <f t="shared" si="7"/>
        <v>0</v>
      </c>
      <c r="AL30" s="426">
        <f t="shared" si="8"/>
        <v>0</v>
      </c>
      <c r="AM30" s="63"/>
      <c r="AN30" s="745"/>
      <c r="AO30" s="745"/>
      <c r="AP30" s="745"/>
      <c r="AQ30" s="746"/>
      <c r="AR30" s="30"/>
    </row>
    <row r="31" spans="1:44" ht="18.75">
      <c r="A31" s="4"/>
      <c r="B31" s="4"/>
      <c r="C31" s="4"/>
      <c r="D31" s="4"/>
      <c r="E31" s="4"/>
      <c r="F31" s="4"/>
      <c r="G31" s="4"/>
      <c r="H31" s="260" t="s">
        <v>232</v>
      </c>
      <c r="I31" s="135"/>
      <c r="J31" s="4"/>
      <c r="K31" s="135"/>
      <c r="P31" s="119"/>
      <c r="U31" s="44"/>
      <c r="V31" s="119"/>
      <c r="W31" s="119"/>
      <c r="X31" s="119"/>
      <c r="Y31" s="119"/>
      <c r="Z31" s="63"/>
      <c r="AA31" s="113"/>
      <c r="AB31" s="113"/>
      <c r="AC31" s="113">
        <f>SUM(AC9:AC30)</f>
        <v>0</v>
      </c>
      <c r="AD31" s="113">
        <f>SUM(AD9:AD30)</f>
        <v>0</v>
      </c>
      <c r="AE31" s="113">
        <f>SUM(AE9:AE30)</f>
        <v>0</v>
      </c>
      <c r="AF31" s="113">
        <f>SUM(AF9:AF30)</f>
        <v>0</v>
      </c>
      <c r="AG31" s="113">
        <f>SUM(AG9:AG30)</f>
        <v>0</v>
      </c>
      <c r="AH31" s="113"/>
      <c r="AI31" s="113"/>
      <c r="AJ31" s="113"/>
      <c r="AK31" s="113"/>
      <c r="AL31" s="743">
        <f>SUM(AL9:AL30)</f>
        <v>0</v>
      </c>
      <c r="AM31" s="63"/>
      <c r="AR31" s="30"/>
    </row>
    <row r="32" spans="1:44" ht="18.75">
      <c r="A32" s="4"/>
      <c r="B32" s="641" t="s">
        <v>228</v>
      </c>
      <c r="C32" s="4"/>
      <c r="D32" s="44" t="s">
        <v>45</v>
      </c>
      <c r="E32" s="4"/>
      <c r="F32" s="385"/>
      <c r="G32" s="385"/>
      <c r="I32" s="135"/>
      <c r="J32" s="119"/>
      <c r="K32" s="119"/>
      <c r="P32" s="119"/>
      <c r="U32" s="4"/>
      <c r="V32" s="119"/>
      <c r="W32" s="119"/>
      <c r="X32" s="119"/>
      <c r="Y32" s="119"/>
      <c r="Z32" s="6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31"/>
      <c r="AL32" s="131"/>
      <c r="AM32" s="63"/>
      <c r="AN32" s="30"/>
      <c r="AO32" s="30"/>
      <c r="AP32" s="30"/>
      <c r="AQ32" s="30"/>
      <c r="AR32" s="30"/>
    </row>
    <row r="33" spans="1:44" ht="18.75">
      <c r="A33" s="4"/>
      <c r="C33" s="4"/>
      <c r="D33" s="44"/>
      <c r="E33" s="4"/>
      <c r="F33" s="385"/>
      <c r="G33" s="385"/>
      <c r="H33" s="260"/>
      <c r="I33" s="135"/>
      <c r="J33" s="119"/>
      <c r="K33" s="119"/>
      <c r="P33" s="119"/>
      <c r="U33" s="4"/>
      <c r="V33" s="119"/>
      <c r="W33" s="119"/>
      <c r="X33" s="119"/>
      <c r="Y33" s="119"/>
      <c r="Z33" s="120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M33" s="63"/>
      <c r="AN33" s="30"/>
      <c r="AO33" s="30"/>
      <c r="AP33" s="30"/>
      <c r="AQ33" s="30"/>
      <c r="AR33" s="30"/>
    </row>
    <row r="34" spans="1:44" ht="24" thickBot="1">
      <c r="A34" s="4"/>
      <c r="C34" s="4"/>
      <c r="D34" s="44"/>
      <c r="E34" s="4"/>
      <c r="F34" s="385"/>
      <c r="G34" s="385"/>
      <c r="H34" s="260"/>
      <c r="I34" s="4">
        <f>SUM(I8:I29)</f>
        <v>3</v>
      </c>
      <c r="J34" s="119"/>
      <c r="K34" s="119"/>
      <c r="P34" s="4"/>
      <c r="Q34" s="119"/>
      <c r="R34" s="744"/>
      <c r="S34" s="4">
        <f>SUM(S7:S30)</f>
        <v>1</v>
      </c>
      <c r="V34" s="119"/>
      <c r="W34" s="119"/>
      <c r="X34" s="4">
        <f>SUM(X8:X30)</f>
        <v>2</v>
      </c>
      <c r="Y34" s="119"/>
      <c r="Z34" s="120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M34" s="63"/>
      <c r="AN34" s="30"/>
      <c r="AO34" s="30"/>
      <c r="AP34" s="30"/>
      <c r="AQ34" s="30"/>
    </row>
    <row r="35" spans="1:44" ht="19.5" thickBot="1">
      <c r="A35" s="4"/>
      <c r="B35" s="30"/>
      <c r="C35" s="4"/>
      <c r="D35" s="4"/>
      <c r="E35" s="4"/>
      <c r="F35" s="4"/>
      <c r="G35" s="4"/>
      <c r="H35" s="135"/>
      <c r="I35" s="4"/>
      <c r="J35" s="119"/>
      <c r="K35" s="119"/>
      <c r="L35" s="135"/>
      <c r="M35" s="135"/>
      <c r="N35" s="131">
        <f>SUM(N7:N30)</f>
        <v>1</v>
      </c>
      <c r="O35" s="147"/>
      <c r="P35" s="120"/>
      <c r="Q35" s="119"/>
      <c r="R35" s="119"/>
      <c r="W35" s="119"/>
      <c r="X35" s="383"/>
      <c r="Y35" s="383"/>
      <c r="Z35" s="120"/>
      <c r="AA35" s="63"/>
      <c r="AB35" s="63"/>
      <c r="AC35" s="63"/>
      <c r="AD35" s="63"/>
      <c r="AE35" s="63"/>
      <c r="AF35" s="63"/>
      <c r="AG35" s="63"/>
      <c r="AH35" s="63"/>
      <c r="AI35" s="63"/>
      <c r="AJ35" s="120"/>
      <c r="AK35" s="284">
        <f>SUM(I34:X34)</f>
        <v>6</v>
      </c>
      <c r="AM35" s="63"/>
      <c r="AN35" s="30"/>
      <c r="AO35" s="30"/>
      <c r="AP35" s="30"/>
      <c r="AQ35" s="30"/>
      <c r="AR35" s="30"/>
    </row>
    <row r="36" spans="1:44" ht="19.5" thickBot="1">
      <c r="A36" s="119"/>
      <c r="B36" s="119"/>
      <c r="C36" s="119"/>
      <c r="D36" s="119"/>
      <c r="E36" s="119"/>
      <c r="F36" s="119"/>
      <c r="G36" s="119"/>
      <c r="H36" s="383"/>
      <c r="I36" s="119">
        <v>63</v>
      </c>
      <c r="J36" s="119"/>
      <c r="K36" s="119"/>
      <c r="L36" s="119"/>
      <c r="M36" s="135"/>
      <c r="N36" s="119"/>
      <c r="O36" s="44"/>
      <c r="P36" s="120"/>
      <c r="Q36" s="119"/>
      <c r="S36" s="4">
        <v>11</v>
      </c>
      <c r="U36" s="4"/>
      <c r="V36" s="4"/>
      <c r="W36" s="119"/>
      <c r="X36" s="30">
        <v>6</v>
      </c>
      <c r="Z36" s="120"/>
      <c r="AA36" s="63"/>
      <c r="AB36" s="63"/>
      <c r="AC36" s="63"/>
      <c r="AD36" s="63"/>
      <c r="AE36" s="63"/>
      <c r="AF36" s="63"/>
      <c r="AG36" s="63"/>
      <c r="AH36" s="63"/>
      <c r="AI36" s="63"/>
      <c r="AJ36" s="120"/>
      <c r="AK36" s="120"/>
      <c r="AL36" s="120"/>
      <c r="AM36" s="63"/>
      <c r="AN36" s="30"/>
      <c r="AO36" s="30"/>
      <c r="AP36" s="30"/>
      <c r="AQ36" s="30"/>
      <c r="AR36" s="30"/>
    </row>
    <row r="37" spans="1:44" ht="19.5" thickBot="1">
      <c r="A37" s="119"/>
      <c r="B37" s="44"/>
      <c r="C37" s="44" t="s">
        <v>41</v>
      </c>
      <c r="D37" s="44"/>
      <c r="E37" s="119"/>
      <c r="F37" s="119"/>
      <c r="G37" s="119"/>
      <c r="H37" s="119"/>
      <c r="I37" s="119"/>
      <c r="J37" s="119"/>
      <c r="K37" s="119"/>
      <c r="L37" s="119"/>
      <c r="M37" s="119"/>
      <c r="N37" s="119">
        <v>16</v>
      </c>
      <c r="O37" s="4"/>
      <c r="P37" s="120"/>
      <c r="Q37" s="119"/>
      <c r="S37" s="119"/>
      <c r="T37" s="119"/>
      <c r="U37" s="119"/>
      <c r="V37" s="119"/>
      <c r="W37" s="119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284">
        <f>SUM(I36:X37)</f>
        <v>96</v>
      </c>
      <c r="AL37" s="120"/>
      <c r="AM37" s="119"/>
      <c r="AN37" s="30"/>
      <c r="AO37" s="30"/>
      <c r="AP37" s="30"/>
      <c r="AR37" s="30"/>
    </row>
    <row r="38" spans="1:44" ht="18.75">
      <c r="A38" s="119"/>
      <c r="B38" s="144" t="s">
        <v>42</v>
      </c>
      <c r="C38" s="214" t="s">
        <v>101</v>
      </c>
      <c r="D38" s="44"/>
      <c r="E38" s="119"/>
      <c r="F38" s="119"/>
      <c r="G38" s="119"/>
      <c r="H38" s="119"/>
      <c r="J38" s="119"/>
      <c r="K38" s="119"/>
      <c r="N38" s="119"/>
      <c r="O38" s="119"/>
      <c r="Z38" s="131"/>
      <c r="AA38" s="44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19"/>
      <c r="AP38" s="30"/>
      <c r="AQ38" s="30"/>
    </row>
    <row r="39" spans="1:44" ht="18.75">
      <c r="B39" s="145" t="s">
        <v>43</v>
      </c>
      <c r="C39" s="214" t="s">
        <v>102</v>
      </c>
      <c r="D39" s="41"/>
      <c r="E39" s="119"/>
      <c r="AG39" s="120"/>
      <c r="AH39" s="120"/>
      <c r="AI39" s="120"/>
      <c r="AM39" s="120"/>
      <c r="AO39" s="119"/>
      <c r="AP39" s="30"/>
      <c r="AQ39" s="30"/>
    </row>
    <row r="40" spans="1:44" ht="18.75">
      <c r="AG40" s="120"/>
      <c r="AH40" s="120"/>
      <c r="AI40" s="120"/>
      <c r="AM40" s="120"/>
      <c r="AN40" s="120"/>
      <c r="AO40" s="119"/>
      <c r="AP40" s="30"/>
      <c r="AQ40" s="30"/>
    </row>
  </sheetData>
  <sheetProtection password="CFC3" sheet="1" objects="1" scenarios="1" formatCells="0" formatColumns="0" formatRows="0" insertColumns="0" insertRows="0" insertHyperlinks="0" deleteColumns="0" deleteRows="0" sort="0"/>
  <mergeCells count="2">
    <mergeCell ref="AK7:AL7"/>
    <mergeCell ref="AO7:AQ7"/>
  </mergeCells>
  <conditionalFormatting sqref="AJ9:AJ30">
    <cfRule type="duplicateValues" dxfId="1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00"/>
  </sheetPr>
  <dimension ref="A1:AR39"/>
  <sheetViews>
    <sheetView zoomScale="60" zoomScaleNormal="60" workbookViewId="0">
      <selection activeCell="AK41" sqref="AK41"/>
    </sheetView>
  </sheetViews>
  <sheetFormatPr baseColWidth="10" defaultRowHeight="15"/>
  <cols>
    <col min="1" max="1" width="6" customWidth="1"/>
    <col min="2" max="2" width="28.140625" customWidth="1"/>
    <col min="3" max="3" width="23.28515625" customWidth="1"/>
    <col min="5" max="5" width="4.7109375" customWidth="1"/>
    <col min="6" max="6" width="10" customWidth="1"/>
    <col min="7" max="7" width="6.28515625" hidden="1" customWidth="1"/>
    <col min="8" max="8" width="25.5703125" customWidth="1"/>
    <col min="9" max="9" width="8.140625" hidden="1" customWidth="1"/>
    <col min="10" max="10" width="7.28515625" customWidth="1"/>
    <col min="11" max="11" width="4.7109375" customWidth="1"/>
    <col min="12" max="12" width="7" customWidth="1"/>
    <col min="13" max="13" width="25.28515625" customWidth="1"/>
    <col min="14" max="14" width="9.5703125" hidden="1" customWidth="1"/>
    <col min="15" max="15" width="9.140625" customWidth="1"/>
    <col min="16" max="16" width="5.85546875" customWidth="1"/>
    <col min="17" max="17" width="10" customWidth="1"/>
    <col min="18" max="18" width="25.28515625" customWidth="1"/>
    <col min="19" max="19" width="8.42578125" hidden="1" customWidth="1"/>
    <col min="20" max="20" width="8.5703125" customWidth="1"/>
    <col min="21" max="21" width="5.140625" customWidth="1"/>
    <col min="22" max="22" width="9" customWidth="1"/>
    <col min="23" max="23" width="25.85546875" customWidth="1"/>
    <col min="24" max="24" width="8" hidden="1" customWidth="1"/>
    <col min="25" max="25" width="9.140625" customWidth="1"/>
    <col min="26" max="26" width="5.7109375" customWidth="1"/>
    <col min="27" max="34" width="0" hidden="1" customWidth="1"/>
    <col min="35" max="35" width="12.7109375" hidden="1" customWidth="1"/>
    <col min="36" max="36" width="12.7109375" customWidth="1"/>
    <col min="37" max="37" width="28.7109375" customWidth="1"/>
    <col min="40" max="40" width="22.42578125" customWidth="1"/>
    <col min="42" max="42" width="46.28515625" customWidth="1"/>
  </cols>
  <sheetData>
    <row r="1" spans="1:44" s="646" customFormat="1" ht="37.5" customHeight="1" thickBot="1">
      <c r="A1" s="642"/>
      <c r="B1" s="642"/>
      <c r="C1" s="643" t="s">
        <v>0</v>
      </c>
      <c r="D1" s="642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4"/>
      <c r="P1" s="643"/>
      <c r="Q1" s="643"/>
      <c r="R1" s="643" t="s">
        <v>138</v>
      </c>
      <c r="S1" s="643"/>
      <c r="T1" s="643"/>
      <c r="U1" s="643"/>
      <c r="V1" s="643"/>
      <c r="W1" s="643"/>
      <c r="X1" s="644"/>
      <c r="Y1" s="644"/>
      <c r="Z1" s="643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3"/>
      <c r="AO1" s="645"/>
      <c r="AP1" s="645"/>
      <c r="AQ1" s="645"/>
      <c r="AR1" s="645"/>
    </row>
    <row r="2" spans="1:44" ht="20.25" thickBot="1">
      <c r="A2" s="4"/>
      <c r="B2" s="60" t="s">
        <v>339</v>
      </c>
      <c r="C2" s="4"/>
      <c r="D2" s="473" t="s">
        <v>44</v>
      </c>
      <c r="E2" s="473"/>
      <c r="F2" s="473"/>
      <c r="G2" s="473"/>
      <c r="H2" s="473"/>
      <c r="I2" s="473"/>
      <c r="J2" s="473"/>
      <c r="K2" s="473" t="s">
        <v>22</v>
      </c>
      <c r="L2" s="473"/>
      <c r="M2" s="44"/>
      <c r="N2" s="44"/>
      <c r="O2" s="113"/>
      <c r="P2" s="44"/>
      <c r="Q2" s="4"/>
      <c r="R2" s="4"/>
      <c r="S2" s="4"/>
      <c r="T2" s="4"/>
      <c r="U2" s="4"/>
      <c r="V2" s="4"/>
      <c r="W2" s="63"/>
      <c r="X2" s="4"/>
      <c r="Y2" s="4"/>
      <c r="Z2" s="4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4"/>
      <c r="AO2" s="30"/>
      <c r="AP2" s="30"/>
      <c r="AQ2" s="30"/>
      <c r="AR2" s="30"/>
    </row>
    <row r="3" spans="1:44" ht="19.5" thickBot="1">
      <c r="A3" s="4"/>
      <c r="B3" s="4"/>
      <c r="C3" s="4"/>
      <c r="D3" s="4"/>
      <c r="E3" s="4"/>
      <c r="F3" s="4"/>
      <c r="G3" s="4"/>
      <c r="H3" s="4"/>
      <c r="I3" s="4"/>
      <c r="J3" s="385"/>
      <c r="K3" s="385"/>
      <c r="L3" s="385"/>
      <c r="M3" s="385"/>
      <c r="N3" s="115"/>
      <c r="O3" s="4"/>
      <c r="P3" s="4"/>
      <c r="Q3" s="4"/>
      <c r="R3" s="4"/>
      <c r="S3" s="4"/>
      <c r="T3" s="385"/>
      <c r="U3" s="385"/>
      <c r="V3" s="385"/>
      <c r="W3" s="385"/>
      <c r="X3" s="385"/>
      <c r="Y3" s="4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120"/>
      <c r="AL3" s="120"/>
      <c r="AM3" s="63"/>
      <c r="AN3" s="30"/>
      <c r="AO3" s="30"/>
      <c r="AP3" s="30"/>
      <c r="AQ3" s="30"/>
      <c r="AR3" s="30"/>
    </row>
    <row r="4" spans="1:44" ht="19.5" thickBot="1">
      <c r="A4" s="4"/>
      <c r="B4" s="4"/>
      <c r="C4" s="4"/>
      <c r="D4" s="4"/>
      <c r="E4" s="4"/>
      <c r="F4" s="4"/>
      <c r="G4" s="4"/>
      <c r="H4" s="4"/>
      <c r="I4" s="4"/>
      <c r="J4" s="385"/>
      <c r="K4" s="385"/>
      <c r="L4" s="34"/>
      <c r="M4" s="34" t="s">
        <v>5</v>
      </c>
      <c r="N4" s="62"/>
      <c r="O4" s="34"/>
      <c r="P4" s="34"/>
      <c r="Q4" s="34"/>
      <c r="R4" s="34" t="s">
        <v>8</v>
      </c>
      <c r="S4" s="34"/>
      <c r="T4" s="4"/>
      <c r="U4" s="4"/>
      <c r="V4" s="4"/>
      <c r="W4" s="34" t="s">
        <v>54</v>
      </c>
      <c r="X4" s="34"/>
      <c r="Y4" s="4"/>
      <c r="Z4" s="63"/>
      <c r="AA4" s="63"/>
      <c r="AB4" s="113"/>
      <c r="AC4" s="113"/>
      <c r="AD4" s="113"/>
      <c r="AE4" s="113"/>
      <c r="AF4" s="113"/>
      <c r="AG4" s="113"/>
      <c r="AH4" s="113"/>
      <c r="AI4" s="61"/>
      <c r="AJ4" s="61"/>
      <c r="AK4" s="776" t="s">
        <v>129</v>
      </c>
      <c r="AL4" s="777"/>
      <c r="AM4" s="63"/>
      <c r="AN4" s="161"/>
      <c r="AO4" s="769" t="s">
        <v>113</v>
      </c>
      <c r="AP4" s="770"/>
      <c r="AQ4" s="771"/>
    </row>
    <row r="5" spans="1:44" ht="19.5" thickBot="1">
      <c r="A5" s="4"/>
      <c r="B5" s="4"/>
      <c r="C5" s="4"/>
      <c r="D5" s="4"/>
      <c r="E5" s="4"/>
      <c r="F5" s="4"/>
      <c r="G5" s="4"/>
      <c r="H5" s="4"/>
      <c r="I5" s="4"/>
      <c r="J5" s="385"/>
      <c r="K5" s="385"/>
      <c r="L5" s="44"/>
      <c r="M5" s="4" t="s">
        <v>6</v>
      </c>
      <c r="N5" s="63" t="s">
        <v>108</v>
      </c>
      <c r="O5" s="44" t="s">
        <v>107</v>
      </c>
      <c r="P5" s="44"/>
      <c r="Q5" s="34"/>
      <c r="R5" s="34"/>
      <c r="S5" s="34"/>
      <c r="T5" s="4"/>
      <c r="U5" s="4"/>
      <c r="V5" s="4"/>
      <c r="W5" s="34"/>
      <c r="X5" s="34"/>
      <c r="Y5" s="4"/>
      <c r="Z5" s="63"/>
      <c r="AA5" s="63"/>
      <c r="AB5" s="141" t="s">
        <v>111</v>
      </c>
      <c r="AC5" s="238" t="s">
        <v>189</v>
      </c>
      <c r="AD5" s="238" t="s">
        <v>190</v>
      </c>
      <c r="AE5" s="238" t="s">
        <v>191</v>
      </c>
      <c r="AF5" s="141" t="s">
        <v>227</v>
      </c>
      <c r="AG5" s="151" t="s">
        <v>193</v>
      </c>
      <c r="AH5" s="295" t="s">
        <v>109</v>
      </c>
      <c r="AI5" s="305" t="s">
        <v>110</v>
      </c>
      <c r="AJ5" s="433" t="s">
        <v>238</v>
      </c>
      <c r="AK5" s="365" t="s">
        <v>111</v>
      </c>
      <c r="AL5" s="366" t="s">
        <v>192</v>
      </c>
      <c r="AM5" s="63"/>
      <c r="AN5" s="238" t="s">
        <v>12</v>
      </c>
      <c r="AO5" s="501" t="s">
        <v>56</v>
      </c>
      <c r="AP5" s="239" t="s">
        <v>241</v>
      </c>
      <c r="AQ5" s="239" t="s">
        <v>16</v>
      </c>
    </row>
    <row r="6" spans="1:44" ht="19.5" thickBot="1">
      <c r="A6" s="4"/>
      <c r="B6" s="4"/>
      <c r="C6" s="4"/>
      <c r="D6" s="4"/>
      <c r="E6" s="4"/>
      <c r="F6" s="4"/>
      <c r="G6" s="4"/>
      <c r="H6" s="34" t="s">
        <v>3</v>
      </c>
      <c r="I6" s="34"/>
      <c r="J6" s="34"/>
      <c r="K6" s="34"/>
      <c r="L6" s="570" t="s">
        <v>2</v>
      </c>
      <c r="M6" s="622" t="str">
        <f>IF(J8=J9,"Gagnant du 1",IF(J8&gt;J9,H8,H9))</f>
        <v>Gagnant du 1</v>
      </c>
      <c r="N6" s="125">
        <f>IF(O6=O7,0,IF(O6&lt;O7,0,2))</f>
        <v>0</v>
      </c>
      <c r="O6" s="576"/>
      <c r="P6" s="44"/>
      <c r="Q6" s="44"/>
      <c r="R6" s="4" t="s">
        <v>49</v>
      </c>
      <c r="S6" s="4" t="s">
        <v>108</v>
      </c>
      <c r="T6" s="44" t="s">
        <v>107</v>
      </c>
      <c r="U6" s="44"/>
      <c r="V6" s="44"/>
      <c r="W6" s="4"/>
      <c r="X6" s="4"/>
      <c r="Y6" s="4"/>
      <c r="Z6" s="113"/>
      <c r="AA6" s="136">
        <v>1</v>
      </c>
      <c r="AB6" s="462">
        <f>+B8</f>
        <v>0</v>
      </c>
      <c r="AC6" s="460" t="str">
        <f>IF(ISNA(VLOOKUP(AB6,$H$8:$I$29,2,0)),"",VLOOKUP(AB6,$H$8:$I$29,2,0))</f>
        <v/>
      </c>
      <c r="AD6" s="298" t="str">
        <f>IF(ISNA(VLOOKUP(AB6,$M$6:$N$31,2,0)),"",VLOOKUP(AB6,$M$6:$N$31,2,0))</f>
        <v/>
      </c>
      <c r="AE6" s="298" t="str">
        <f t="shared" ref="AE6:AE27" si="0">IF(ISNA(VLOOKUP(AB6,$R$7:$S$30,3,0)),"",VLOOKUP(AB6,$R$7:$S$30,2,0))</f>
        <v/>
      </c>
      <c r="AF6" s="300" t="str">
        <f t="shared" ref="AF6:AF27" si="1">IF(ISNA(VLOOKUP(AB6,$W$8:$X$30,2,0)),"",VLOOKUP(AB6,$W$8:$X$30,2,0))</f>
        <v/>
      </c>
      <c r="AG6" s="439">
        <f>SUM(AC6:AF6)</f>
        <v>0</v>
      </c>
      <c r="AH6" s="299">
        <f>IF(OR(AB6="",AG6=""),"",RANK(AG6,$AG$6:$AG$27)+COUNTIF(AB$6:AB$27,"&lt;="&amp;AB6+1)/10000+ROW()/100000)</f>
        <v>1.0022599999999999</v>
      </c>
      <c r="AI6" s="194">
        <f>IF(AB6="","",SMALL(AH$6:AH$27,ROWS(AL$6:AL6)))</f>
        <v>1.0022599999999999</v>
      </c>
      <c r="AJ6" s="651">
        <f>IF(AI6="","",1)</f>
        <v>1</v>
      </c>
      <c r="AK6" s="464">
        <f>IF(OR(AB6="",AG6=""),"",INDEX($AB$6:$AB$27,MATCH(AI6,$AH$6:$AH$27,0)))</f>
        <v>0</v>
      </c>
      <c r="AL6" s="452">
        <f>IF(AB6="","",INDEX($AG$6:$AG$27,MATCH(AI6,$AH$6:$AH$27,0)))</f>
        <v>0</v>
      </c>
      <c r="AM6" s="63"/>
      <c r="AN6" s="570" t="s">
        <v>115</v>
      </c>
      <c r="AO6" s="240">
        <v>2</v>
      </c>
      <c r="AP6" s="241" t="s">
        <v>242</v>
      </c>
      <c r="AQ6" s="581" t="s">
        <v>323</v>
      </c>
    </row>
    <row r="7" spans="1:44" ht="19.5" thickBot="1">
      <c r="A7" s="190"/>
      <c r="B7" s="381" t="s">
        <v>103</v>
      </c>
      <c r="C7" s="86" t="s">
        <v>13</v>
      </c>
      <c r="D7" s="86" t="s">
        <v>104</v>
      </c>
      <c r="E7" s="4"/>
      <c r="F7" s="4"/>
      <c r="G7" s="4"/>
      <c r="H7" s="4" t="s">
        <v>4</v>
      </c>
      <c r="I7" s="4" t="s">
        <v>108</v>
      </c>
      <c r="J7" s="44" t="s">
        <v>107</v>
      </c>
      <c r="K7" s="44"/>
      <c r="L7" s="571">
        <v>3</v>
      </c>
      <c r="M7" s="623" t="str">
        <f>IF(J10=J11,"Gagnant du 2",IF(J10&gt;J11,H10,H11))</f>
        <v>Gagnant du 2</v>
      </c>
      <c r="N7" s="129">
        <f>IF(O6=O7,0,IF(O6&gt;O7,0,2))</f>
        <v>0</v>
      </c>
      <c r="O7" s="577"/>
      <c r="P7" s="44"/>
      <c r="Q7" s="570" t="s">
        <v>2</v>
      </c>
      <c r="R7" s="528" t="str">
        <f>IF(O6=O7,"Gagnant du 3",IF(O6&gt;O7,M6,M7))</f>
        <v>Gagnant du 3</v>
      </c>
      <c r="S7" s="125">
        <f>IF(T7=T8,0,IF(T7&lt;T8,0,2))</f>
        <v>0</v>
      </c>
      <c r="T7" s="576"/>
      <c r="U7" s="44"/>
      <c r="V7" s="44"/>
      <c r="W7" s="385" t="s">
        <v>9</v>
      </c>
      <c r="X7" s="4" t="s">
        <v>108</v>
      </c>
      <c r="Y7" s="44" t="s">
        <v>107</v>
      </c>
      <c r="Z7" s="61"/>
      <c r="AA7" s="137">
        <v>2</v>
      </c>
      <c r="AB7" s="440">
        <f>+B9</f>
        <v>0</v>
      </c>
      <c r="AC7" s="155" t="str">
        <f t="shared" ref="AC7:AC27" si="2">IF(ISNA(VLOOKUP(AB7,$H$8:$I$29,2,0)),"",VLOOKUP(AB7,$H$8:$I$29,2,0))</f>
        <v/>
      </c>
      <c r="AD7" s="210" t="str">
        <f t="shared" ref="AD7:AD27" si="3">IF(ISNA(VLOOKUP(AB7,$M$6:$N$31,2,0)),"",VLOOKUP(AB7,$M$6:$N$31,2,0))</f>
        <v/>
      </c>
      <c r="AE7" s="210" t="str">
        <f t="shared" si="0"/>
        <v/>
      </c>
      <c r="AF7" s="350" t="str">
        <f t="shared" si="1"/>
        <v/>
      </c>
      <c r="AG7" s="440">
        <f t="shared" ref="AG7:AG27" si="4">SUM(AC7:AF7)</f>
        <v>0</v>
      </c>
      <c r="AH7" s="299">
        <f t="shared" ref="AH7:AH27" si="5">IF(OR(AB7="",AG7=""),"",RANK(AG7,$AG$6:$AG$27)+COUNTIF(AB$6:AB$27,"&lt;="&amp;AB7+1)/10000+ROW()/100000)</f>
        <v>1.00227</v>
      </c>
      <c r="AI7" s="194">
        <f>IF(AB7="","",SMALL(AH$6:AH$27,ROWS(AL$6:AL7)))</f>
        <v>1.00227</v>
      </c>
      <c r="AJ7" s="652">
        <f>IF(AI7="","",IF(AND(AL6=AL7),$AJ6,$AJ$6+1))</f>
        <v>1</v>
      </c>
      <c r="AK7" s="465">
        <f t="shared" ref="AK7:AK27" si="6">IF(OR(AB7="",AG7=""),"",INDEX($AB$6:$AB$27,MATCH(AI7,$AH$6:$AH$27,0)))</f>
        <v>0</v>
      </c>
      <c r="AL7" s="453">
        <f t="shared" ref="AL7:AL27" si="7">IF(AB7="","",INDEX($AG$6:$AG$27,MATCH(AI7,$AH$6:$AH$27,0)))</f>
        <v>0</v>
      </c>
      <c r="AM7" s="63"/>
      <c r="AN7" s="575" t="s">
        <v>262</v>
      </c>
      <c r="AO7" s="251">
        <v>2</v>
      </c>
      <c r="AP7" s="675" t="s">
        <v>261</v>
      </c>
      <c r="AQ7" s="603">
        <v>9</v>
      </c>
    </row>
    <row r="8" spans="1:44" ht="19.5" thickBot="1">
      <c r="A8" s="87">
        <v>1</v>
      </c>
      <c r="B8" s="555"/>
      <c r="C8" s="556"/>
      <c r="D8" s="89"/>
      <c r="E8" s="4"/>
      <c r="F8" s="573" t="s">
        <v>2</v>
      </c>
      <c r="G8" s="475">
        <v>1</v>
      </c>
      <c r="H8" s="286" t="str">
        <f t="shared" ref="H8:H29" si="8">IF(ISNA(MATCH(G8,$D$8:$D$29,0)),"",INDEX($B$8:$B$29,MATCH(G8,$D$8:$D$29,0)))</f>
        <v/>
      </c>
      <c r="I8" s="126">
        <f>IF(J8=J9,0,IF(J8&lt;J9,2,4))</f>
        <v>0</v>
      </c>
      <c r="J8" s="576"/>
      <c r="K8" s="44"/>
      <c r="L8" s="570" t="s">
        <v>2</v>
      </c>
      <c r="M8" s="624" t="str">
        <f>IF(J12=J13,"Gagnant du 3",IF(J12&gt;J13,H12,H13))</f>
        <v>Gagnant du 3</v>
      </c>
      <c r="N8" s="166">
        <f>IF(O8=O9,0,IF(O8&lt;O9,0,2))</f>
        <v>0</v>
      </c>
      <c r="O8" s="576"/>
      <c r="P8" s="384"/>
      <c r="Q8" s="571">
        <v>7</v>
      </c>
      <c r="R8" s="627" t="str">
        <f>IF(O14=O15,"Gagnant du 11",IF(O14&gt;O15,M14,#REF!))</f>
        <v>Gagnant du 11</v>
      </c>
      <c r="S8" s="129">
        <f>IF(T7=T8,0,IF(T7&gt;T8,0,2))</f>
        <v>0</v>
      </c>
      <c r="T8" s="577"/>
      <c r="U8" s="44"/>
      <c r="V8" s="570" t="s">
        <v>2</v>
      </c>
      <c r="W8" s="519" t="str">
        <f>IF(T9=T10,"Gagnant du 2",IF(T9&gt;T10,R9,R10))</f>
        <v>Gagnant du 2</v>
      </c>
      <c r="X8" s="125">
        <f>IF(Y8=Y9,0,IF(Y8&lt;Y9,0,2))</f>
        <v>0</v>
      </c>
      <c r="Y8" s="576"/>
      <c r="Z8" s="61"/>
      <c r="AA8" s="137">
        <v>3</v>
      </c>
      <c r="AB8" s="440">
        <f t="shared" ref="AB8:AB26" si="9">+B10</f>
        <v>0</v>
      </c>
      <c r="AC8" s="155" t="str">
        <f t="shared" si="2"/>
        <v/>
      </c>
      <c r="AD8" s="210" t="str">
        <f t="shared" si="3"/>
        <v/>
      </c>
      <c r="AE8" s="210" t="str">
        <f t="shared" si="0"/>
        <v/>
      </c>
      <c r="AF8" s="350" t="str">
        <f t="shared" si="1"/>
        <v/>
      </c>
      <c r="AG8" s="440">
        <f t="shared" si="4"/>
        <v>0</v>
      </c>
      <c r="AH8" s="299">
        <f t="shared" si="5"/>
        <v>1.0022800000000001</v>
      </c>
      <c r="AI8" s="194">
        <f>IF(AB8="","",SMALL(AH$6:AH$27,ROWS(AL$6:AL8)))</f>
        <v>1.0022800000000001</v>
      </c>
      <c r="AJ8" s="652">
        <f>IF(AI8="","",IF(AND(AL7=AL8),$AJ7,$AJ$6+2))</f>
        <v>1</v>
      </c>
      <c r="AK8" s="465">
        <f t="shared" si="6"/>
        <v>0</v>
      </c>
      <c r="AL8" s="453">
        <f t="shared" si="7"/>
        <v>0</v>
      </c>
      <c r="AM8" s="115"/>
      <c r="AN8" s="580" t="s">
        <v>15</v>
      </c>
      <c r="AO8" s="242">
        <v>2</v>
      </c>
      <c r="AP8" s="243" t="s">
        <v>243</v>
      </c>
      <c r="AQ8" s="582">
        <v>8</v>
      </c>
    </row>
    <row r="9" spans="1:44" ht="19.5" thickBot="1">
      <c r="A9" s="94">
        <v>2</v>
      </c>
      <c r="B9" s="557"/>
      <c r="C9" s="558"/>
      <c r="D9" s="96"/>
      <c r="E9" s="4"/>
      <c r="F9" s="574">
        <v>1</v>
      </c>
      <c r="G9" s="476">
        <v>2</v>
      </c>
      <c r="H9" s="198" t="str">
        <f t="shared" si="8"/>
        <v/>
      </c>
      <c r="I9" s="130">
        <f>IF(J8=J9,0,IF(J8&gt;J9,2,4))</f>
        <v>0</v>
      </c>
      <c r="J9" s="577"/>
      <c r="K9" s="44"/>
      <c r="L9" s="571">
        <v>5</v>
      </c>
      <c r="M9" s="625" t="str">
        <f>IF(J14=J15,"Gagnant du 4",IF(J14&gt;J15,H14,H15))</f>
        <v>Gagnant du 4</v>
      </c>
      <c r="N9" s="129">
        <f>IF(O8=O9,0,IF(O8&gt;O9,0,2))</f>
        <v>0</v>
      </c>
      <c r="O9" s="577"/>
      <c r="P9" s="44"/>
      <c r="Q9" s="575" t="s">
        <v>2</v>
      </c>
      <c r="R9" s="529" t="str">
        <f>IF(O8=O9,"Gagnant du 5",IF(O8&gt;O9,M8,M9))</f>
        <v>Gagnant du 5</v>
      </c>
      <c r="S9" s="166">
        <f>IF(T9=T10,0,IF(T9&lt;T10,0,2))</f>
        <v>0</v>
      </c>
      <c r="T9" s="578"/>
      <c r="U9" s="384"/>
      <c r="V9" s="571">
        <v>4</v>
      </c>
      <c r="W9" s="520" t="str">
        <f>IF(T11=T12,"Gagnant du 6",IF(T11&gt;T12,R11,R12))</f>
        <v>Gagnant du 6</v>
      </c>
      <c r="X9" s="129">
        <f>IF(Y8=Y9,0,IF(Y8&gt;Y9,0,2))</f>
        <v>0</v>
      </c>
      <c r="Y9" s="577"/>
      <c r="Z9" s="113"/>
      <c r="AA9" s="137">
        <v>4</v>
      </c>
      <c r="AB9" s="440">
        <f t="shared" si="9"/>
        <v>0</v>
      </c>
      <c r="AC9" s="155" t="str">
        <f t="shared" si="2"/>
        <v/>
      </c>
      <c r="AD9" s="210" t="str">
        <f t="shared" si="3"/>
        <v/>
      </c>
      <c r="AE9" s="210" t="str">
        <f t="shared" si="0"/>
        <v/>
      </c>
      <c r="AF9" s="350" t="str">
        <f t="shared" si="1"/>
        <v/>
      </c>
      <c r="AG9" s="440">
        <f t="shared" si="4"/>
        <v>0</v>
      </c>
      <c r="AH9" s="299">
        <f t="shared" si="5"/>
        <v>1.0022899999999999</v>
      </c>
      <c r="AI9" s="194">
        <f>IF(AB9="","",SMALL(AH$6:AH$27,ROWS(AL$6:AL9)))</f>
        <v>1.0022899999999999</v>
      </c>
      <c r="AJ9" s="652">
        <f>IF(AI9="","",IF(AND(AL8=AL9),$AJ8,$AJ$6+3))</f>
        <v>1</v>
      </c>
      <c r="AK9" s="465">
        <f t="shared" si="6"/>
        <v>0</v>
      </c>
      <c r="AL9" s="453">
        <f t="shared" si="7"/>
        <v>0</v>
      </c>
      <c r="AM9" s="115"/>
      <c r="AN9" s="580" t="s">
        <v>114</v>
      </c>
      <c r="AO9" s="242">
        <v>2</v>
      </c>
      <c r="AP9" s="243" t="s">
        <v>263</v>
      </c>
      <c r="AQ9" s="582">
        <v>6</v>
      </c>
    </row>
    <row r="10" spans="1:44" ht="19.5" thickBot="1">
      <c r="A10" s="94">
        <v>3</v>
      </c>
      <c r="B10" s="559"/>
      <c r="C10" s="560"/>
      <c r="D10" s="96"/>
      <c r="E10" s="4"/>
      <c r="F10" s="573" t="s">
        <v>2</v>
      </c>
      <c r="G10" s="475">
        <v>3</v>
      </c>
      <c r="H10" s="202" t="str">
        <f t="shared" si="8"/>
        <v/>
      </c>
      <c r="I10" s="126">
        <f>IF(J10=J11,0,IF(J10&lt;J11,2,4))</f>
        <v>0</v>
      </c>
      <c r="J10" s="578"/>
      <c r="K10" s="384"/>
      <c r="L10" s="570" t="s">
        <v>2</v>
      </c>
      <c r="M10" s="624" t="str">
        <f>IF(J16=J17,"Gagnant du 5",IF(J16&gt;J17,H16,H17))</f>
        <v>Gagnant du 5</v>
      </c>
      <c r="N10" s="127">
        <f>IF(O10=O11,0,IF(O10&lt;O11,0,2))</f>
        <v>0</v>
      </c>
      <c r="O10" s="576"/>
      <c r="P10" s="44"/>
      <c r="Q10" s="572">
        <v>2</v>
      </c>
      <c r="R10" s="530" t="str">
        <f>IF(O10=O11,"Gagnant du 7",IF(O10&gt;O11,M10,M11))</f>
        <v>Gagnant du 7</v>
      </c>
      <c r="S10" s="129">
        <f>IF(T9=T10,0,IF(T9&gt;T10,0,2))</f>
        <v>0</v>
      </c>
      <c r="T10" s="579"/>
      <c r="U10" s="44"/>
      <c r="V10" s="44"/>
      <c r="W10" s="131"/>
      <c r="X10" s="131"/>
      <c r="Y10" s="44"/>
      <c r="Z10" s="113"/>
      <c r="AA10" s="137">
        <v>5</v>
      </c>
      <c r="AB10" s="440">
        <f t="shared" si="9"/>
        <v>0</v>
      </c>
      <c r="AC10" s="155" t="str">
        <f t="shared" si="2"/>
        <v/>
      </c>
      <c r="AD10" s="210" t="str">
        <f t="shared" si="3"/>
        <v/>
      </c>
      <c r="AE10" s="210" t="str">
        <f t="shared" si="0"/>
        <v/>
      </c>
      <c r="AF10" s="350" t="str">
        <f t="shared" si="1"/>
        <v/>
      </c>
      <c r="AG10" s="440">
        <f t="shared" si="4"/>
        <v>0</v>
      </c>
      <c r="AH10" s="299">
        <f t="shared" si="5"/>
        <v>1.0023</v>
      </c>
      <c r="AI10" s="194">
        <f>IF(AB10="","",SMALL(AH$6:AH$27,ROWS(AL$6:AL10)))</f>
        <v>1.0023</v>
      </c>
      <c r="AJ10" s="652">
        <f>IF(AI10="","",IF(AND(AL9=AL10),$AJ9,$AJ$6+4))</f>
        <v>1</v>
      </c>
      <c r="AK10" s="465">
        <f t="shared" si="6"/>
        <v>0</v>
      </c>
      <c r="AL10" s="453">
        <f t="shared" si="7"/>
        <v>0</v>
      </c>
      <c r="AM10" s="63"/>
      <c r="AN10" s="580" t="s">
        <v>114</v>
      </c>
      <c r="AO10" s="242">
        <v>2</v>
      </c>
      <c r="AP10" s="243" t="s">
        <v>263</v>
      </c>
      <c r="AQ10" s="582">
        <v>6</v>
      </c>
    </row>
    <row r="11" spans="1:44" ht="19.5" thickBot="1">
      <c r="A11" s="94">
        <v>4</v>
      </c>
      <c r="B11" s="557"/>
      <c r="C11" s="558"/>
      <c r="D11" s="96"/>
      <c r="E11" s="4"/>
      <c r="F11" s="574">
        <v>2</v>
      </c>
      <c r="G11" s="476">
        <v>4</v>
      </c>
      <c r="H11" s="203" t="str">
        <f t="shared" si="8"/>
        <v/>
      </c>
      <c r="I11" s="130">
        <f>IF(J10=J11,0,IF(J10&gt;J11,2,4))</f>
        <v>0</v>
      </c>
      <c r="J11" s="579"/>
      <c r="K11" s="44"/>
      <c r="L11" s="571">
        <v>7</v>
      </c>
      <c r="M11" s="625" t="str">
        <f>IF(J18=J19,"Gagnant du 6",IF(J18&gt;J19,H18,H19))</f>
        <v>Gagnant du 6</v>
      </c>
      <c r="N11" s="129">
        <f>IF(O10=O11,0,IF(O10&gt;O11,0,2))</f>
        <v>0</v>
      </c>
      <c r="O11" s="577"/>
      <c r="P11" s="384"/>
      <c r="Q11" s="570" t="s">
        <v>2</v>
      </c>
      <c r="R11" s="528" t="str">
        <f>IF(O12=O13,"Gagnant du 1",IF(O12&gt;O13,M12,M13))</f>
        <v>Gagnant du 1</v>
      </c>
      <c r="S11" s="127">
        <f>IF(T11=T12,0,IF(T11&lt;T12,0,2))</f>
        <v>0</v>
      </c>
      <c r="T11" s="576"/>
      <c r="U11" s="44"/>
      <c r="V11" s="723"/>
      <c r="W11" s="519" t="str">
        <f>IF(T7=T8,"Gagnant du 7",IF(T7&gt;T8,R7,R8))</f>
        <v>Gagnant du 7</v>
      </c>
      <c r="X11" s="152">
        <v>1</v>
      </c>
      <c r="Y11" s="121">
        <v>1</v>
      </c>
      <c r="Z11" s="61"/>
      <c r="AA11" s="137">
        <v>6</v>
      </c>
      <c r="AB11" s="440">
        <f t="shared" si="9"/>
        <v>0</v>
      </c>
      <c r="AC11" s="155" t="str">
        <f t="shared" si="2"/>
        <v/>
      </c>
      <c r="AD11" s="210" t="str">
        <f t="shared" si="3"/>
        <v/>
      </c>
      <c r="AE11" s="210" t="str">
        <f t="shared" si="0"/>
        <v/>
      </c>
      <c r="AF11" s="350" t="str">
        <f t="shared" si="1"/>
        <v/>
      </c>
      <c r="AG11" s="440">
        <f t="shared" si="4"/>
        <v>0</v>
      </c>
      <c r="AH11" s="299">
        <f t="shared" si="5"/>
        <v>1.00231</v>
      </c>
      <c r="AI11" s="194">
        <f>IF(AB11="","",SMALL(AH$6:AH$27,ROWS(AL$6:AL11)))</f>
        <v>1.00231</v>
      </c>
      <c r="AJ11" s="652">
        <f>IF(AI11="","",IF(AND(AL10=AL11),$AJ10,$AJ$6+5))</f>
        <v>1</v>
      </c>
      <c r="AK11" s="465">
        <f t="shared" si="6"/>
        <v>0</v>
      </c>
      <c r="AL11" s="453">
        <f t="shared" si="7"/>
        <v>0</v>
      </c>
      <c r="AM11" s="63"/>
      <c r="AN11" s="580" t="s">
        <v>114</v>
      </c>
      <c r="AO11" s="250">
        <v>2</v>
      </c>
      <c r="AP11" s="402" t="s">
        <v>264</v>
      </c>
      <c r="AQ11" s="583">
        <v>5</v>
      </c>
    </row>
    <row r="12" spans="1:44" ht="19.5" thickBot="1">
      <c r="A12" s="94">
        <v>5</v>
      </c>
      <c r="B12" s="559"/>
      <c r="C12" s="560"/>
      <c r="D12" s="96"/>
      <c r="E12" s="4"/>
      <c r="F12" s="573" t="s">
        <v>2</v>
      </c>
      <c r="G12" s="475">
        <v>5</v>
      </c>
      <c r="H12" s="182" t="str">
        <f t="shared" si="8"/>
        <v/>
      </c>
      <c r="I12" s="126">
        <f>IF(J12=J13,0,IF(J12&lt;J13,2,4))</f>
        <v>0</v>
      </c>
      <c r="J12" s="576"/>
      <c r="K12" s="44"/>
      <c r="L12" s="570" t="s">
        <v>2</v>
      </c>
      <c r="M12" s="624" t="str">
        <f>IF(J20=J21,"Gagnant du 7",IF(J20&gt;J21,H20,H21))</f>
        <v>Gagnant du 7</v>
      </c>
      <c r="N12" s="166">
        <f>IF(O12=O13,0,IF(O12&lt;O13,0,2))</f>
        <v>0</v>
      </c>
      <c r="O12" s="576"/>
      <c r="P12" s="44"/>
      <c r="Q12" s="571">
        <v>6</v>
      </c>
      <c r="R12" s="520" t="str">
        <f>IF(O16=O17,"Gagnant du 9",IF(O16&gt;O17,M16,M17))</f>
        <v>Gagnant du 11</v>
      </c>
      <c r="S12" s="129">
        <f>IF(T11=T12,0,IF(T11&gt;T12,0,2))</f>
        <v>0</v>
      </c>
      <c r="T12" s="577"/>
      <c r="U12" s="384"/>
      <c r="V12" s="282"/>
      <c r="W12" s="118" t="s">
        <v>105</v>
      </c>
      <c r="X12" s="124"/>
      <c r="Y12" s="122"/>
      <c r="Z12" s="113"/>
      <c r="AA12" s="137">
        <v>7</v>
      </c>
      <c r="AB12" s="440">
        <f t="shared" si="9"/>
        <v>0</v>
      </c>
      <c r="AC12" s="155" t="str">
        <f t="shared" si="2"/>
        <v/>
      </c>
      <c r="AD12" s="210" t="str">
        <f t="shared" si="3"/>
        <v/>
      </c>
      <c r="AE12" s="210" t="str">
        <f t="shared" si="0"/>
        <v/>
      </c>
      <c r="AF12" s="350" t="str">
        <f t="shared" si="1"/>
        <v/>
      </c>
      <c r="AG12" s="440">
        <f t="shared" si="4"/>
        <v>0</v>
      </c>
      <c r="AH12" s="299">
        <f t="shared" si="5"/>
        <v>1.0023199999999999</v>
      </c>
      <c r="AI12" s="194">
        <f>IF(AB12="","",SMALL(AH$6:AH$27,ROWS(AL$6:AL12)))</f>
        <v>1.0023199999999999</v>
      </c>
      <c r="AJ12" s="652">
        <f>IF(AI12="","",IF(AND(AL11=AL12),$AJ11,$AJ$6+6))</f>
        <v>1</v>
      </c>
      <c r="AK12" s="465">
        <f t="shared" si="6"/>
        <v>0</v>
      </c>
      <c r="AL12" s="453">
        <f t="shared" si="7"/>
        <v>0</v>
      </c>
      <c r="AM12" s="115"/>
      <c r="AN12" s="483" t="s">
        <v>118</v>
      </c>
      <c r="AO12" s="240">
        <v>2</v>
      </c>
      <c r="AP12" s="245" t="s">
        <v>247</v>
      </c>
      <c r="AQ12" s="543" t="s">
        <v>326</v>
      </c>
    </row>
    <row r="13" spans="1:44" ht="19.5" thickBot="1">
      <c r="A13" s="94">
        <v>6</v>
      </c>
      <c r="B13" s="557"/>
      <c r="C13" s="558"/>
      <c r="D13" s="96"/>
      <c r="E13" s="4"/>
      <c r="F13" s="574">
        <v>3</v>
      </c>
      <c r="G13" s="476">
        <v>6</v>
      </c>
      <c r="H13" s="198" t="str">
        <f t="shared" si="8"/>
        <v/>
      </c>
      <c r="I13" s="130">
        <f>IF(J12=J13,0,IF(J12&gt;J13,2,4))</f>
        <v>0</v>
      </c>
      <c r="J13" s="577"/>
      <c r="K13" s="384"/>
      <c r="L13" s="572">
        <v>1</v>
      </c>
      <c r="M13" s="625" t="str">
        <f>IF(J22=J23,"Gagnant du 8",IF(J22&gt;J23,H22,H23))</f>
        <v>Gagnant du 8</v>
      </c>
      <c r="N13" s="129">
        <f>IF(O12=O13,0,IF(O12&gt;O13,0,2))</f>
        <v>0</v>
      </c>
      <c r="O13" s="579"/>
      <c r="P13" s="44"/>
      <c r="Q13" s="61"/>
      <c r="R13" s="221"/>
      <c r="S13" s="147"/>
      <c r="T13" s="61"/>
      <c r="U13" s="44"/>
      <c r="W13" s="64"/>
      <c r="Z13" s="61"/>
      <c r="AA13" s="137">
        <v>8</v>
      </c>
      <c r="AB13" s="440">
        <f t="shared" si="9"/>
        <v>0</v>
      </c>
      <c r="AC13" s="155" t="str">
        <f t="shared" si="2"/>
        <v/>
      </c>
      <c r="AD13" s="210" t="str">
        <f t="shared" si="3"/>
        <v/>
      </c>
      <c r="AE13" s="210" t="str">
        <f t="shared" si="0"/>
        <v/>
      </c>
      <c r="AF13" s="350" t="str">
        <f t="shared" si="1"/>
        <v/>
      </c>
      <c r="AG13" s="440">
        <f t="shared" si="4"/>
        <v>0</v>
      </c>
      <c r="AH13" s="299">
        <f t="shared" si="5"/>
        <v>1.0023299999999999</v>
      </c>
      <c r="AI13" s="194">
        <f>IF(AB13="","",SMALL(AH$6:AH$27,ROWS(AL$6:AL13)))</f>
        <v>1.0023299999999999</v>
      </c>
      <c r="AJ13" s="652">
        <f>IF(AI13="","",IF(AND(AL12=AL13),$AJ12,$AJ$6+7))</f>
        <v>1</v>
      </c>
      <c r="AK13" s="465">
        <f t="shared" si="6"/>
        <v>0</v>
      </c>
      <c r="AL13" s="453">
        <f t="shared" si="7"/>
        <v>0</v>
      </c>
      <c r="AM13" s="115"/>
      <c r="AN13" s="509" t="s">
        <v>265</v>
      </c>
      <c r="AO13" s="251">
        <v>2</v>
      </c>
      <c r="AP13" s="675" t="s">
        <v>266</v>
      </c>
      <c r="AQ13" s="638">
        <v>5.5</v>
      </c>
    </row>
    <row r="14" spans="1:44" ht="18.75">
      <c r="A14" s="94">
        <v>7</v>
      </c>
      <c r="B14" s="559"/>
      <c r="C14" s="560"/>
      <c r="D14" s="96"/>
      <c r="E14" s="4"/>
      <c r="F14" s="573" t="s">
        <v>2</v>
      </c>
      <c r="G14" s="475">
        <v>7</v>
      </c>
      <c r="H14" s="202" t="str">
        <f t="shared" si="8"/>
        <v/>
      </c>
      <c r="I14" s="126">
        <f>IF(J14=J15,0,IF(J14&lt;J15,2,4))</f>
        <v>0</v>
      </c>
      <c r="J14" s="578"/>
      <c r="K14" s="44"/>
      <c r="L14" s="570" t="s">
        <v>2</v>
      </c>
      <c r="M14" s="624" t="str">
        <f>IF(J24=J25,"Gagnant du 9",IF(J24&gt;J25,H24,H25))</f>
        <v>Gagnant du 9</v>
      </c>
      <c r="N14" s="166">
        <f>IF(O14=O15,0,IF(O14&lt;O15,0,2))</f>
        <v>0</v>
      </c>
      <c r="O14" s="576"/>
      <c r="P14" s="44"/>
      <c r="Q14" s="44"/>
      <c r="R14" s="612"/>
      <c r="S14" s="131"/>
      <c r="T14" s="44"/>
      <c r="U14" s="44"/>
      <c r="W14" s="64"/>
      <c r="Z14" s="61"/>
      <c r="AA14" s="137">
        <v>9</v>
      </c>
      <c r="AB14" s="440">
        <f t="shared" si="9"/>
        <v>0</v>
      </c>
      <c r="AC14" s="155" t="str">
        <f t="shared" si="2"/>
        <v/>
      </c>
      <c r="AD14" s="210" t="str">
        <f t="shared" si="3"/>
        <v/>
      </c>
      <c r="AE14" s="210" t="str">
        <f t="shared" si="0"/>
        <v/>
      </c>
      <c r="AF14" s="350" t="str">
        <f t="shared" si="1"/>
        <v/>
      </c>
      <c r="AG14" s="440">
        <f t="shared" si="4"/>
        <v>0</v>
      </c>
      <c r="AH14" s="299">
        <f t="shared" si="5"/>
        <v>1.00234</v>
      </c>
      <c r="AI14" s="194">
        <f>IF(AB14="","",SMALL(AH$6:AH$27,ROWS(AL$6:AL14)))</f>
        <v>1.00234</v>
      </c>
      <c r="AJ14" s="652">
        <f>IF(AI14="","",IF(AND(AL13=AL14),$AJ13,$AJ$6+8))</f>
        <v>1</v>
      </c>
      <c r="AK14" s="465">
        <f t="shared" si="6"/>
        <v>0</v>
      </c>
      <c r="AL14" s="453">
        <f t="shared" si="7"/>
        <v>0</v>
      </c>
      <c r="AM14" s="63"/>
      <c r="AN14" s="487" t="s">
        <v>20</v>
      </c>
      <c r="AO14" s="242">
        <v>2</v>
      </c>
      <c r="AP14" s="675" t="s">
        <v>279</v>
      </c>
      <c r="AQ14" s="544" t="s">
        <v>324</v>
      </c>
    </row>
    <row r="15" spans="1:44" ht="19.5" thickBot="1">
      <c r="A15" s="94">
        <v>8</v>
      </c>
      <c r="B15" s="557"/>
      <c r="C15" s="558"/>
      <c r="D15" s="96"/>
      <c r="E15" s="4"/>
      <c r="F15" s="574">
        <v>4</v>
      </c>
      <c r="G15" s="476">
        <v>8</v>
      </c>
      <c r="H15" s="203" t="str">
        <f t="shared" si="8"/>
        <v/>
      </c>
      <c r="I15" s="130">
        <f>IF(J14=J15,0,IF(J14&gt;J15,2,4))</f>
        <v>0</v>
      </c>
      <c r="J15" s="579"/>
      <c r="K15" s="44"/>
      <c r="L15" s="572">
        <v>11</v>
      </c>
      <c r="M15" s="63" t="str">
        <f>IF(J26=J27,"Gagnant du 10",IF(J26&gt;J27,H26,H27))</f>
        <v>Gagnant du 10</v>
      </c>
      <c r="N15" s="129">
        <f>IF(O14=O15,0,IF(O14&gt;O15,0,2))</f>
        <v>0</v>
      </c>
      <c r="O15" s="579"/>
      <c r="P15" s="44"/>
      <c r="Q15" s="44"/>
      <c r="R15" s="167" t="s">
        <v>51</v>
      </c>
      <c r="S15" s="131"/>
      <c r="T15" s="44"/>
      <c r="U15" s="44"/>
      <c r="W15" s="64"/>
      <c r="Z15" s="113"/>
      <c r="AA15" s="137">
        <v>10</v>
      </c>
      <c r="AB15" s="440">
        <f t="shared" si="9"/>
        <v>0</v>
      </c>
      <c r="AC15" s="155" t="str">
        <f t="shared" si="2"/>
        <v/>
      </c>
      <c r="AD15" s="210" t="str">
        <f t="shared" si="3"/>
        <v/>
      </c>
      <c r="AE15" s="210" t="str">
        <f t="shared" si="0"/>
        <v/>
      </c>
      <c r="AF15" s="350" t="str">
        <f t="shared" si="1"/>
        <v/>
      </c>
      <c r="AG15" s="440">
        <f t="shared" si="4"/>
        <v>0</v>
      </c>
      <c r="AH15" s="299">
        <f t="shared" si="5"/>
        <v>1.0023500000000001</v>
      </c>
      <c r="AI15" s="194">
        <f>IF(AB15="","",SMALL(AH$6:AH$27,ROWS(AL$6:AL15)))</f>
        <v>1.0023500000000001</v>
      </c>
      <c r="AJ15" s="652">
        <f>IF(AI15="","",IF(AND(AL14=AL15),$AJ14,$AJ$6+9))</f>
        <v>1</v>
      </c>
      <c r="AK15" s="465">
        <f t="shared" si="6"/>
        <v>0</v>
      </c>
      <c r="AL15" s="453">
        <f t="shared" si="7"/>
        <v>0</v>
      </c>
      <c r="AM15" s="63"/>
      <c r="AN15" s="487" t="s">
        <v>65</v>
      </c>
      <c r="AO15" s="242">
        <v>2</v>
      </c>
      <c r="AP15" s="243" t="s">
        <v>245</v>
      </c>
      <c r="AQ15" s="544">
        <v>4</v>
      </c>
    </row>
    <row r="16" spans="1:44" ht="19.5" thickBot="1">
      <c r="A16" s="94">
        <v>9</v>
      </c>
      <c r="B16" s="559"/>
      <c r="C16" s="560"/>
      <c r="D16" s="96"/>
      <c r="E16" s="4"/>
      <c r="F16" s="573" t="s">
        <v>2</v>
      </c>
      <c r="G16" s="475">
        <v>9</v>
      </c>
      <c r="H16" s="182" t="str">
        <f t="shared" si="8"/>
        <v/>
      </c>
      <c r="I16" s="126">
        <f>IF(J16=J17,0,IF(J16&lt;J17,2,4))</f>
        <v>0</v>
      </c>
      <c r="J16" s="576"/>
      <c r="K16" s="44"/>
      <c r="L16" s="570" t="s">
        <v>2</v>
      </c>
      <c r="M16" s="519" t="str">
        <f>IF(J28=J29,"Gagnant du 11",IF(J28&gt;J29,H28,H29))</f>
        <v>Gagnant du 11</v>
      </c>
      <c r="N16" s="123">
        <v>1</v>
      </c>
      <c r="O16" s="121">
        <v>1</v>
      </c>
      <c r="P16" s="44"/>
      <c r="Q16" s="616" t="s">
        <v>2</v>
      </c>
      <c r="R16" s="125" t="str">
        <f>IF(O20=O21,"Gagnant du 8",IF(O20&gt;O21,M20,M21))</f>
        <v>Gagnant du 8</v>
      </c>
      <c r="S16" s="171">
        <f>IF(T16=T17,0,IF(T16&lt;T17,0,1))</f>
        <v>0</v>
      </c>
      <c r="T16" s="631"/>
      <c r="U16" s="44"/>
      <c r="V16" s="44"/>
      <c r="W16" s="167" t="s">
        <v>10</v>
      </c>
      <c r="X16" s="131"/>
      <c r="Y16" s="44"/>
      <c r="Z16" s="113"/>
      <c r="AA16" s="137">
        <v>11</v>
      </c>
      <c r="AB16" s="440">
        <f t="shared" si="9"/>
        <v>0</v>
      </c>
      <c r="AC16" s="155" t="str">
        <f t="shared" si="2"/>
        <v/>
      </c>
      <c r="AD16" s="210" t="str">
        <f t="shared" si="3"/>
        <v/>
      </c>
      <c r="AE16" s="210" t="str">
        <f t="shared" si="0"/>
        <v/>
      </c>
      <c r="AF16" s="350" t="str">
        <f t="shared" si="1"/>
        <v/>
      </c>
      <c r="AG16" s="440">
        <f t="shared" si="4"/>
        <v>0</v>
      </c>
      <c r="AH16" s="299">
        <f t="shared" si="5"/>
        <v>1.0023599999999999</v>
      </c>
      <c r="AI16" s="194">
        <f>IF(AB16="","",SMALL(AH$6:AH$27,ROWS(AL$6:AL16)))</f>
        <v>1.0023599999999999</v>
      </c>
      <c r="AJ16" s="652">
        <f>IF(AI16="","",IF(AND(AL15=AL16),$AJ15,$AJ$6+10))</f>
        <v>1</v>
      </c>
      <c r="AK16" s="465">
        <f t="shared" si="6"/>
        <v>0</v>
      </c>
      <c r="AL16" s="453">
        <f t="shared" si="7"/>
        <v>0</v>
      </c>
      <c r="AM16" s="63"/>
      <c r="AN16" s="488" t="s">
        <v>65</v>
      </c>
      <c r="AO16" s="262">
        <v>2</v>
      </c>
      <c r="AP16" s="247" t="s">
        <v>245</v>
      </c>
      <c r="AQ16" s="544">
        <v>4</v>
      </c>
    </row>
    <row r="17" spans="1:44" ht="19.5" thickBot="1">
      <c r="A17" s="94">
        <v>10</v>
      </c>
      <c r="B17" s="557"/>
      <c r="C17" s="558"/>
      <c r="D17" s="96"/>
      <c r="E17" s="4"/>
      <c r="F17" s="574">
        <v>5</v>
      </c>
      <c r="G17" s="476">
        <v>10</v>
      </c>
      <c r="H17" s="198" t="str">
        <f t="shared" si="8"/>
        <v/>
      </c>
      <c r="I17" s="130">
        <f>IF(J16=J17,0,IF(J16&gt;J17,2,4))</f>
        <v>0</v>
      </c>
      <c r="J17" s="577"/>
      <c r="K17" s="44"/>
      <c r="L17" s="282">
        <v>9</v>
      </c>
      <c r="M17" s="118" t="s">
        <v>105</v>
      </c>
      <c r="N17" s="124"/>
      <c r="O17" s="122"/>
      <c r="P17" s="44"/>
      <c r="Q17" s="617">
        <v>5</v>
      </c>
      <c r="R17" s="520" t="str">
        <f>IF(O22=O23,"Gagnant du 2",IF(O22&gt;O23,M22,M23))</f>
        <v>Gagnant du 2</v>
      </c>
      <c r="S17" s="129">
        <f>IF(T16=T17,0,IF(T16&gt;T17,0,1))</f>
        <v>0</v>
      </c>
      <c r="T17" s="632"/>
      <c r="U17" s="44"/>
      <c r="V17" s="522" t="s">
        <v>2</v>
      </c>
      <c r="W17" s="528" t="str">
        <f>IF(T18=T19,"Gagnant du 3",IF(T18&gt;T19,R18,R19))</f>
        <v>Gagnant du 3</v>
      </c>
      <c r="X17" s="171">
        <f>IF(Y17=Y18,0,IF(Y17&lt;Y18,0,1))</f>
        <v>0</v>
      </c>
      <c r="Y17" s="631"/>
      <c r="Z17" s="113"/>
      <c r="AA17" s="137">
        <v>12</v>
      </c>
      <c r="AB17" s="440">
        <f t="shared" si="9"/>
        <v>0</v>
      </c>
      <c r="AC17" s="155" t="str">
        <f t="shared" si="2"/>
        <v/>
      </c>
      <c r="AD17" s="210" t="str">
        <f t="shared" si="3"/>
        <v/>
      </c>
      <c r="AE17" s="210" t="str">
        <f t="shared" si="0"/>
        <v/>
      </c>
      <c r="AF17" s="350" t="str">
        <f t="shared" si="1"/>
        <v/>
      </c>
      <c r="AG17" s="440">
        <f t="shared" si="4"/>
        <v>0</v>
      </c>
      <c r="AH17" s="299">
        <f t="shared" si="5"/>
        <v>1.00237</v>
      </c>
      <c r="AI17" s="194">
        <f>IF(AB17="","",SMALL(AH$6:AH$27,ROWS(AL$6:AL17)))</f>
        <v>1.00237</v>
      </c>
      <c r="AJ17" s="652">
        <f>IF(AI17="","",IF(AND(AL16=AL17),$AJ16,$AJ$6+11))</f>
        <v>1</v>
      </c>
      <c r="AK17" s="465">
        <f t="shared" si="6"/>
        <v>0</v>
      </c>
      <c r="AL17" s="453">
        <f t="shared" si="7"/>
        <v>0</v>
      </c>
      <c r="AM17" s="115"/>
      <c r="AN17" s="522" t="s">
        <v>117</v>
      </c>
      <c r="AO17" s="240">
        <v>2</v>
      </c>
      <c r="AP17" s="245" t="s">
        <v>249</v>
      </c>
      <c r="AQ17" s="550">
        <v>5</v>
      </c>
    </row>
    <row r="18" spans="1:44" ht="19.5" thickBot="1">
      <c r="A18" s="94">
        <v>11</v>
      </c>
      <c r="B18" s="559"/>
      <c r="C18" s="560"/>
      <c r="D18" s="96"/>
      <c r="E18" s="4"/>
      <c r="F18" s="573" t="s">
        <v>2</v>
      </c>
      <c r="G18" s="475">
        <v>11</v>
      </c>
      <c r="H18" s="202" t="str">
        <f t="shared" si="8"/>
        <v/>
      </c>
      <c r="I18" s="126">
        <f>IF(J18=J19,0,IF(J18&lt;J19,2,4))</f>
        <v>0</v>
      </c>
      <c r="J18" s="578"/>
      <c r="K18" s="44"/>
      <c r="M18" s="626"/>
      <c r="P18" s="44"/>
      <c r="Q18" s="536" t="s">
        <v>2</v>
      </c>
      <c r="R18" s="529" t="str">
        <f>IF(O24=O25,"Gagnant du 10",IF(O24&gt;O25,M24,M25))</f>
        <v>Gagnant du 10</v>
      </c>
      <c r="S18" s="146">
        <f>IF(T18=T19,0,IF(T18&lt;T19,0,1))</f>
        <v>0</v>
      </c>
      <c r="T18" s="635"/>
      <c r="U18" s="44"/>
      <c r="V18" s="524">
        <v>6</v>
      </c>
      <c r="W18" s="534" t="str">
        <f>IF(T20=T21,"Gagnant du 8",IF(T20&gt;T21,R20,R21))</f>
        <v>Gagnant du 8</v>
      </c>
      <c r="X18" s="129">
        <f>IF(Y17=Y18,0,IF(Y17&gt;Y18,0,1))</f>
        <v>0</v>
      </c>
      <c r="Y18" s="632"/>
      <c r="Z18" s="113"/>
      <c r="AA18" s="137">
        <v>13</v>
      </c>
      <c r="AB18" s="440">
        <f t="shared" si="9"/>
        <v>0</v>
      </c>
      <c r="AC18" s="155" t="str">
        <f t="shared" si="2"/>
        <v/>
      </c>
      <c r="AD18" s="210" t="str">
        <f t="shared" si="3"/>
        <v/>
      </c>
      <c r="AE18" s="210" t="str">
        <f t="shared" si="0"/>
        <v/>
      </c>
      <c r="AF18" s="350" t="str">
        <f t="shared" si="1"/>
        <v/>
      </c>
      <c r="AG18" s="440">
        <f t="shared" si="4"/>
        <v>0</v>
      </c>
      <c r="AH18" s="299">
        <f t="shared" si="5"/>
        <v>1.00238</v>
      </c>
      <c r="AI18" s="194">
        <f>IF(AB18="","",SMALL(AH$6:AH$27,ROWS(AL$6:AL18)))</f>
        <v>1.00238</v>
      </c>
      <c r="AJ18" s="652">
        <f>IF(AI18="","",IF(AND(AL17=AL18),$AJ17,$AJ$6+12))</f>
        <v>1</v>
      </c>
      <c r="AK18" s="465">
        <f t="shared" si="6"/>
        <v>0</v>
      </c>
      <c r="AL18" s="453">
        <f t="shared" si="7"/>
        <v>0</v>
      </c>
      <c r="AM18" s="115"/>
      <c r="AN18" s="639" t="s">
        <v>265</v>
      </c>
      <c r="AO18" s="251">
        <v>2</v>
      </c>
      <c r="AP18" s="676" t="s">
        <v>267</v>
      </c>
      <c r="AQ18" s="551">
        <v>4.5</v>
      </c>
    </row>
    <row r="19" spans="1:44" ht="19.5" thickBot="1">
      <c r="A19" s="94">
        <v>12</v>
      </c>
      <c r="B19" s="557"/>
      <c r="C19" s="558"/>
      <c r="D19" s="96"/>
      <c r="E19" s="4"/>
      <c r="F19" s="574">
        <v>6</v>
      </c>
      <c r="G19" s="476">
        <v>12</v>
      </c>
      <c r="H19" s="203" t="str">
        <f t="shared" si="8"/>
        <v/>
      </c>
      <c r="I19" s="130">
        <f>IF(J18=J19,0,IF(J18&gt;J19,2,4))</f>
        <v>0</v>
      </c>
      <c r="J19" s="579"/>
      <c r="K19" s="44"/>
      <c r="L19" s="44"/>
      <c r="M19" s="147" t="s">
        <v>7</v>
      </c>
      <c r="N19" s="147"/>
      <c r="O19" s="44"/>
      <c r="P19" s="44"/>
      <c r="Q19" s="526">
        <v>3</v>
      </c>
      <c r="R19" s="520" t="str">
        <f>IF(O26=O27,"Gagnant du 4",IF(O26&gt;O27,M26,M27))</f>
        <v>Gagnant du 4</v>
      </c>
      <c r="S19" s="129">
        <f>IF(T18=T19,0,IF(T18&gt;T19,0,1))</f>
        <v>0</v>
      </c>
      <c r="T19" s="634"/>
      <c r="U19" s="44"/>
      <c r="W19" s="64"/>
      <c r="Z19" s="61"/>
      <c r="AA19" s="137">
        <v>14</v>
      </c>
      <c r="AB19" s="440">
        <f t="shared" si="9"/>
        <v>0</v>
      </c>
      <c r="AC19" s="155" t="str">
        <f t="shared" si="2"/>
        <v/>
      </c>
      <c r="AD19" s="210" t="str">
        <f t="shared" si="3"/>
        <v/>
      </c>
      <c r="AE19" s="210" t="str">
        <f t="shared" si="0"/>
        <v/>
      </c>
      <c r="AF19" s="350" t="str">
        <f t="shared" si="1"/>
        <v/>
      </c>
      <c r="AG19" s="440">
        <f t="shared" si="4"/>
        <v>0</v>
      </c>
      <c r="AH19" s="299">
        <f t="shared" si="5"/>
        <v>1.0023899999999999</v>
      </c>
      <c r="AI19" s="194">
        <f>IF(AB19="","",SMALL(AH$6:AH$27,ROWS(AL$6:AL19)))</f>
        <v>1.0023899999999999</v>
      </c>
      <c r="AJ19" s="652">
        <f>IF(AI19="","",IF(AND(AL18=AL19),$AJ18,$AJ$6+13))</f>
        <v>1</v>
      </c>
      <c r="AK19" s="465">
        <f t="shared" si="6"/>
        <v>0</v>
      </c>
      <c r="AL19" s="453">
        <f t="shared" si="7"/>
        <v>0</v>
      </c>
      <c r="AM19" s="63"/>
      <c r="AN19" s="547" t="s">
        <v>18</v>
      </c>
      <c r="AO19" s="242">
        <v>2</v>
      </c>
      <c r="AP19" s="675" t="s">
        <v>270</v>
      </c>
      <c r="AQ19" s="551">
        <v>3.5</v>
      </c>
    </row>
    <row r="20" spans="1:44" ht="18.75">
      <c r="A20" s="94">
        <v>13</v>
      </c>
      <c r="B20" s="559"/>
      <c r="C20" s="560"/>
      <c r="D20" s="96"/>
      <c r="E20" s="4"/>
      <c r="F20" s="573" t="s">
        <v>2</v>
      </c>
      <c r="G20" s="475">
        <v>13</v>
      </c>
      <c r="H20" s="182" t="str">
        <f t="shared" si="8"/>
        <v/>
      </c>
      <c r="I20" s="126">
        <f>IF(J20=J21,0,IF(J20&lt;J21,2,4))</f>
        <v>0</v>
      </c>
      <c r="J20" s="576"/>
      <c r="K20" s="44"/>
      <c r="L20" s="522" t="s">
        <v>2</v>
      </c>
      <c r="M20" s="528" t="str">
        <f>IF(J8=J9,"Perdant du 1",IF(J8&lt;J9,H8,H9))</f>
        <v>Perdant du 1</v>
      </c>
      <c r="N20" s="171">
        <f>IF(O20=O21,0,IF(O20&lt;O21,0,1))</f>
        <v>0</v>
      </c>
      <c r="O20" s="631"/>
      <c r="P20" s="44"/>
      <c r="Q20" s="522" t="s">
        <v>2</v>
      </c>
      <c r="R20" s="529" t="str">
        <f>IF(O28=O29,"Gagnant du 6",IF(O28&gt;O29,M28,M29))</f>
        <v>Gagnant du 6</v>
      </c>
      <c r="S20" s="146">
        <f>IF(T20=T21,0,IF(T20&lt;T21,0,1))</f>
        <v>0</v>
      </c>
      <c r="T20" s="631"/>
      <c r="U20" s="44"/>
      <c r="V20" s="723"/>
      <c r="W20" s="519" t="str">
        <f>IF(T16=T17,"Gagnant du 5",IF(T16&gt;T17,R16,R17))</f>
        <v>Gagnant du 5</v>
      </c>
      <c r="X20" s="123">
        <v>0.5</v>
      </c>
      <c r="Y20" s="121">
        <v>1</v>
      </c>
      <c r="Z20" s="61"/>
      <c r="AA20" s="137">
        <v>15</v>
      </c>
      <c r="AB20" s="440">
        <f t="shared" si="9"/>
        <v>0</v>
      </c>
      <c r="AC20" s="155" t="str">
        <f t="shared" si="2"/>
        <v/>
      </c>
      <c r="AD20" s="210" t="str">
        <f t="shared" si="3"/>
        <v/>
      </c>
      <c r="AE20" s="210" t="str">
        <f t="shared" si="0"/>
        <v/>
      </c>
      <c r="AF20" s="350" t="str">
        <f t="shared" si="1"/>
        <v/>
      </c>
      <c r="AG20" s="440">
        <f t="shared" si="4"/>
        <v>0</v>
      </c>
      <c r="AH20" s="299">
        <f t="shared" si="5"/>
        <v>1.0024</v>
      </c>
      <c r="AI20" s="194">
        <f>IF(AB20="","",SMALL(AH$6:AH$27,ROWS(AL$6:AL20)))</f>
        <v>1.0024</v>
      </c>
      <c r="AJ20" s="652">
        <f>IF(AI20="","",IF(AND(AL19=AL20),$AJ19,$AJ$6+14))</f>
        <v>1</v>
      </c>
      <c r="AK20" s="465">
        <f t="shared" si="6"/>
        <v>0</v>
      </c>
      <c r="AL20" s="453">
        <f t="shared" si="7"/>
        <v>0</v>
      </c>
      <c r="AM20" s="63"/>
      <c r="AN20" s="548" t="s">
        <v>64</v>
      </c>
      <c r="AO20" s="242">
        <v>1</v>
      </c>
      <c r="AP20" s="243" t="s">
        <v>268</v>
      </c>
      <c r="AQ20" s="552">
        <v>3</v>
      </c>
    </row>
    <row r="21" spans="1:44" ht="19.5" thickBot="1">
      <c r="A21" s="94">
        <v>14</v>
      </c>
      <c r="B21" s="557"/>
      <c r="C21" s="558"/>
      <c r="D21" s="96"/>
      <c r="E21" s="4"/>
      <c r="F21" s="574">
        <v>7</v>
      </c>
      <c r="G21" s="476">
        <v>14</v>
      </c>
      <c r="H21" s="198" t="str">
        <f t="shared" si="8"/>
        <v/>
      </c>
      <c r="I21" s="130">
        <f>IF(J20=J21,0,IF(J20&gt;J21,2,4))</f>
        <v>0</v>
      </c>
      <c r="J21" s="577"/>
      <c r="K21" s="44"/>
      <c r="L21" s="524">
        <v>8</v>
      </c>
      <c r="M21" s="627" t="str">
        <f>IF(J10=J11,"Perdant du 2",IF(J10&lt;J11,H10,H11))</f>
        <v>Perdant du 2</v>
      </c>
      <c r="N21" s="129">
        <f>IF(O20=O21,0,IF(O20&gt;O21,0,1))</f>
        <v>0</v>
      </c>
      <c r="O21" s="632"/>
      <c r="P21" s="44"/>
      <c r="Q21" s="524">
        <v>8</v>
      </c>
      <c r="R21" s="532" t="str">
        <f>IF(O30=O31,"Gagnant du 12",IF(O30&gt;O31,M30,M31))</f>
        <v>Perdant du 11</v>
      </c>
      <c r="S21" s="129">
        <f>IF(T20=T21,0,IF(T20&gt;T21,0,1))</f>
        <v>0</v>
      </c>
      <c r="T21" s="632"/>
      <c r="U21" s="44"/>
      <c r="V21" s="282"/>
      <c r="W21" s="118" t="s">
        <v>105</v>
      </c>
      <c r="X21" s="124"/>
      <c r="Y21" s="122"/>
      <c r="Z21" s="63"/>
      <c r="AA21" s="137">
        <v>16</v>
      </c>
      <c r="AB21" s="440">
        <f t="shared" si="9"/>
        <v>0</v>
      </c>
      <c r="AC21" s="155" t="str">
        <f t="shared" si="2"/>
        <v/>
      </c>
      <c r="AD21" s="210" t="str">
        <f t="shared" si="3"/>
        <v/>
      </c>
      <c r="AE21" s="210" t="str">
        <f t="shared" si="0"/>
        <v/>
      </c>
      <c r="AF21" s="350" t="str">
        <f t="shared" si="1"/>
        <v/>
      </c>
      <c r="AG21" s="440">
        <f t="shared" si="4"/>
        <v>0</v>
      </c>
      <c r="AH21" s="299">
        <f t="shared" si="5"/>
        <v>1.00241</v>
      </c>
      <c r="AI21" s="194">
        <f>IF(AB21="","",SMALL(AH$6:AH$27,ROWS(AL$6:AL21)))</f>
        <v>1.00241</v>
      </c>
      <c r="AJ21" s="652">
        <f>IF(AI21="","",IF(AND(AL20=AL21),$AJ20,$AJ$6+15))</f>
        <v>1</v>
      </c>
      <c r="AK21" s="465">
        <f t="shared" si="6"/>
        <v>0</v>
      </c>
      <c r="AL21" s="453">
        <f t="shared" si="7"/>
        <v>0</v>
      </c>
      <c r="AM21" s="63"/>
      <c r="AN21" s="548" t="s">
        <v>64</v>
      </c>
      <c r="AO21" s="242">
        <v>1</v>
      </c>
      <c r="AP21" s="243" t="s">
        <v>268</v>
      </c>
      <c r="AQ21" s="552">
        <v>3</v>
      </c>
    </row>
    <row r="22" spans="1:44" ht="19.5" thickBot="1">
      <c r="A22" s="94">
        <v>15</v>
      </c>
      <c r="B22" s="559"/>
      <c r="C22" s="560"/>
      <c r="D22" s="96"/>
      <c r="E22" s="4"/>
      <c r="F22" s="573" t="s">
        <v>2</v>
      </c>
      <c r="G22" s="475">
        <v>15</v>
      </c>
      <c r="H22" s="182" t="str">
        <f t="shared" si="8"/>
        <v/>
      </c>
      <c r="I22" s="126">
        <f>IF(J22=J23,0,IF(J22&lt;J23,2,4))</f>
        <v>0</v>
      </c>
      <c r="J22" s="576"/>
      <c r="K22" s="44"/>
      <c r="L22" s="522" t="s">
        <v>2</v>
      </c>
      <c r="M22" s="528" t="str">
        <f>IF(J12=J13,"Perdant du 3",IF(J12&lt;I13,H12,H13))</f>
        <v>Perdant du 3</v>
      </c>
      <c r="N22" s="146">
        <f>IF(O22=O23,0,IF(O22&lt;O23,0,1))</f>
        <v>0</v>
      </c>
      <c r="O22" s="631"/>
      <c r="P22" s="44"/>
      <c r="Q22" s="44"/>
      <c r="R22" s="64"/>
      <c r="S22" s="131"/>
      <c r="T22" s="44"/>
      <c r="U22" s="44"/>
      <c r="W22" s="64"/>
      <c r="Z22" s="63"/>
      <c r="AA22" s="137">
        <v>17</v>
      </c>
      <c r="AB22" s="440">
        <f t="shared" si="9"/>
        <v>0</v>
      </c>
      <c r="AC22" s="155" t="str">
        <f t="shared" si="2"/>
        <v/>
      </c>
      <c r="AD22" s="210" t="str">
        <f t="shared" si="3"/>
        <v/>
      </c>
      <c r="AE22" s="210" t="str">
        <f t="shared" si="0"/>
        <v/>
      </c>
      <c r="AF22" s="350" t="str">
        <f t="shared" si="1"/>
        <v/>
      </c>
      <c r="AG22" s="440">
        <f t="shared" si="4"/>
        <v>0</v>
      </c>
      <c r="AH22" s="299">
        <f t="shared" si="5"/>
        <v>1.0024200000000001</v>
      </c>
      <c r="AI22" s="194">
        <f>IF(AB22="","",SMALL(AH$6:AH$27,ROWS(AL$6:AL22)))</f>
        <v>1.0024200000000001</v>
      </c>
      <c r="AJ22" s="652">
        <f>IF(AI22="","",IF(AND(AL21=AL22),$AJ21,$AJ$6+16))</f>
        <v>1</v>
      </c>
      <c r="AK22" s="465">
        <f t="shared" si="6"/>
        <v>0</v>
      </c>
      <c r="AL22" s="453">
        <f t="shared" si="7"/>
        <v>0</v>
      </c>
      <c r="AM22" s="63"/>
      <c r="AN22" s="549" t="s">
        <v>64</v>
      </c>
      <c r="AO22" s="250">
        <v>2</v>
      </c>
      <c r="AP22" s="247" t="s">
        <v>269</v>
      </c>
      <c r="AQ22" s="553">
        <v>3</v>
      </c>
    </row>
    <row r="23" spans="1:44" ht="19.5" thickBot="1">
      <c r="A23" s="94">
        <v>16</v>
      </c>
      <c r="B23" s="557"/>
      <c r="C23" s="558"/>
      <c r="D23" s="96"/>
      <c r="E23" s="4"/>
      <c r="F23" s="574">
        <v>8</v>
      </c>
      <c r="G23" s="476">
        <v>16</v>
      </c>
      <c r="H23" s="198" t="str">
        <f t="shared" si="8"/>
        <v/>
      </c>
      <c r="I23" s="130">
        <f>IF(J22=J23,0,IF(J22&gt;J23,2,4))</f>
        <v>0</v>
      </c>
      <c r="J23" s="577"/>
      <c r="K23" s="44"/>
      <c r="L23" s="524">
        <v>2</v>
      </c>
      <c r="M23" s="520" t="str">
        <f>IF(J14=J15,"Perdant du 4",IF(I14&lt;J15,H14,H15))</f>
        <v>Perdant du 4</v>
      </c>
      <c r="N23" s="129">
        <f>IF(O22=O23,0,IF(O22&gt;O23,0,1))</f>
        <v>0</v>
      </c>
      <c r="O23" s="632"/>
      <c r="P23" s="44"/>
      <c r="Q23" s="44"/>
      <c r="R23" s="131"/>
      <c r="S23" s="131"/>
      <c r="T23" s="44"/>
      <c r="U23" s="44"/>
      <c r="V23" s="4"/>
      <c r="W23" s="131"/>
      <c r="X23" s="135"/>
      <c r="Y23" s="4"/>
      <c r="Z23" s="63"/>
      <c r="AA23" s="137">
        <v>18</v>
      </c>
      <c r="AB23" s="440">
        <f t="shared" si="9"/>
        <v>0</v>
      </c>
      <c r="AC23" s="155" t="str">
        <f t="shared" si="2"/>
        <v/>
      </c>
      <c r="AD23" s="210" t="str">
        <f t="shared" si="3"/>
        <v/>
      </c>
      <c r="AE23" s="210" t="str">
        <f t="shared" si="0"/>
        <v/>
      </c>
      <c r="AF23" s="350" t="str">
        <f t="shared" si="1"/>
        <v/>
      </c>
      <c r="AG23" s="440">
        <f t="shared" si="4"/>
        <v>0</v>
      </c>
      <c r="AH23" s="299">
        <f t="shared" si="5"/>
        <v>1.0024299999999999</v>
      </c>
      <c r="AI23" s="194">
        <f>IF(AB23="","",SMALL(AH$6:AH$27,ROWS(AL$6:AL23)))</f>
        <v>1.0024299999999999</v>
      </c>
      <c r="AJ23" s="652">
        <f>IF(AI23="","",IF(AND(AL22=AL23),$AJ22,$AJ$6+17))</f>
        <v>1</v>
      </c>
      <c r="AK23" s="465">
        <f t="shared" si="6"/>
        <v>0</v>
      </c>
      <c r="AL23" s="453">
        <f t="shared" si="7"/>
        <v>0</v>
      </c>
      <c r="AM23" s="63"/>
      <c r="AN23" s="518" t="s">
        <v>116</v>
      </c>
      <c r="AO23" s="254">
        <v>2</v>
      </c>
      <c r="AP23" s="245" t="s">
        <v>246</v>
      </c>
      <c r="AQ23" s="136">
        <f t="shared" ref="AQ23:AQ27" si="10">SUM(AO23:AP23)</f>
        <v>2</v>
      </c>
    </row>
    <row r="24" spans="1:44" ht="19.5" thickBot="1">
      <c r="A24" s="94">
        <v>17</v>
      </c>
      <c r="B24" s="559"/>
      <c r="C24" s="560"/>
      <c r="D24" s="96"/>
      <c r="E24" s="4"/>
      <c r="F24" s="573" t="s">
        <v>2</v>
      </c>
      <c r="G24" s="475">
        <v>17</v>
      </c>
      <c r="H24" s="182" t="str">
        <f t="shared" si="8"/>
        <v/>
      </c>
      <c r="I24" s="126">
        <f>IF(J24=J25,0,IF(J24&lt;J25,2,4))</f>
        <v>0</v>
      </c>
      <c r="J24" s="576"/>
      <c r="K24" s="44"/>
      <c r="L24" s="630" t="s">
        <v>2</v>
      </c>
      <c r="M24" s="528" t="str">
        <f>IF(J16=J17,"Perdant du 5",IF(J16&lt;I17,H16,H17))</f>
        <v>Perdant du 5</v>
      </c>
      <c r="N24" s="146">
        <f>IF(O24=O25,0,IF(O24&lt;O25,0,1))</f>
        <v>0</v>
      </c>
      <c r="O24" s="633"/>
      <c r="P24" s="44"/>
      <c r="Q24" s="44"/>
      <c r="R24" s="147" t="s">
        <v>53</v>
      </c>
      <c r="S24" s="131"/>
      <c r="T24" s="44"/>
      <c r="U24" s="44"/>
      <c r="V24" s="4"/>
      <c r="W24" s="131"/>
      <c r="X24" s="135"/>
      <c r="Y24" s="4"/>
      <c r="Z24" s="113"/>
      <c r="AA24" s="137">
        <v>19</v>
      </c>
      <c r="AB24" s="440">
        <f t="shared" si="9"/>
        <v>0</v>
      </c>
      <c r="AC24" s="155" t="str">
        <f t="shared" si="2"/>
        <v/>
      </c>
      <c r="AD24" s="210" t="str">
        <f t="shared" si="3"/>
        <v/>
      </c>
      <c r="AE24" s="210" t="str">
        <f t="shared" si="0"/>
        <v/>
      </c>
      <c r="AF24" s="350" t="str">
        <f t="shared" si="1"/>
        <v/>
      </c>
      <c r="AG24" s="440">
        <f t="shared" si="4"/>
        <v>0</v>
      </c>
      <c r="AH24" s="299">
        <f t="shared" si="5"/>
        <v>1.00244</v>
      </c>
      <c r="AI24" s="194">
        <f>IF(AB24="","",SMALL(AH$6:AH$27,ROWS(AL$6:AL24)))</f>
        <v>1.00244</v>
      </c>
      <c r="AJ24" s="652">
        <f>IF(AI24="","",IF(AND(AL23=AL24),$AJ23,$AJ$6+18))</f>
        <v>1</v>
      </c>
      <c r="AK24" s="465">
        <f t="shared" si="6"/>
        <v>0</v>
      </c>
      <c r="AL24" s="453">
        <f t="shared" si="7"/>
        <v>0</v>
      </c>
      <c r="AM24" s="63"/>
      <c r="AN24" s="563" t="s">
        <v>116</v>
      </c>
      <c r="AO24" s="255">
        <v>2</v>
      </c>
      <c r="AP24" s="243" t="s">
        <v>246</v>
      </c>
      <c r="AQ24" s="137">
        <f t="shared" si="10"/>
        <v>2</v>
      </c>
    </row>
    <row r="25" spans="1:44" ht="19.5" thickBot="1">
      <c r="A25" s="94">
        <v>18</v>
      </c>
      <c r="B25" s="557"/>
      <c r="C25" s="560"/>
      <c r="D25" s="96"/>
      <c r="E25" s="4"/>
      <c r="F25" s="574">
        <v>9</v>
      </c>
      <c r="G25" s="476">
        <v>18</v>
      </c>
      <c r="H25" s="198" t="str">
        <f t="shared" si="8"/>
        <v/>
      </c>
      <c r="I25" s="130">
        <f>IF(J24=J25,0,IF(J24&gt;J25,2,4))</f>
        <v>0</v>
      </c>
      <c r="J25" s="577"/>
      <c r="K25" s="44"/>
      <c r="L25" s="630">
        <v>10</v>
      </c>
      <c r="M25" s="520" t="str">
        <f>IF(J18=J19,"Perdant du 6",IF(I18&lt;J19,H18,H19))</f>
        <v>Perdant du 6</v>
      </c>
      <c r="N25" s="129">
        <f>IF(O24=O25,0,IF(O24&gt;O25,0,1))</f>
        <v>0</v>
      </c>
      <c r="O25" s="633"/>
      <c r="P25" s="44"/>
      <c r="Q25" s="483" t="s">
        <v>2</v>
      </c>
      <c r="R25" s="528" t="str">
        <f>IF(O6=O7,"Perdant du 3",IF(O6&lt;O7,M6,M7))</f>
        <v>Perdant du 3</v>
      </c>
      <c r="S25" s="125">
        <f>IF(T25=T26,0,IF(T25&lt;T26,0,1))</f>
        <v>0</v>
      </c>
      <c r="T25" s="511"/>
      <c r="U25" s="44"/>
      <c r="V25" s="44"/>
      <c r="W25" s="147" t="s">
        <v>11</v>
      </c>
      <c r="X25" s="131"/>
      <c r="Y25" s="44"/>
      <c r="Z25" s="113"/>
      <c r="AA25" s="137">
        <v>20</v>
      </c>
      <c r="AB25" s="440">
        <f t="shared" si="9"/>
        <v>0</v>
      </c>
      <c r="AC25" s="155" t="str">
        <f t="shared" si="2"/>
        <v/>
      </c>
      <c r="AD25" s="210" t="str">
        <f t="shared" si="3"/>
        <v/>
      </c>
      <c r="AE25" s="210" t="str">
        <f t="shared" si="0"/>
        <v/>
      </c>
      <c r="AF25" s="350" t="str">
        <f t="shared" si="1"/>
        <v/>
      </c>
      <c r="AG25" s="440">
        <f t="shared" si="4"/>
        <v>0</v>
      </c>
      <c r="AH25" s="299">
        <f t="shared" si="5"/>
        <v>1.0024500000000001</v>
      </c>
      <c r="AI25" s="194">
        <f>IF(AB25="","",SMALL(AH$6:AH$27,ROWS(AL$6:AL25)))</f>
        <v>1.0024500000000001</v>
      </c>
      <c r="AJ25" s="652">
        <f>IF(AI25="","",IF(AND(AL24=AL25),$AJ24,$AJ$6+19))</f>
        <v>1</v>
      </c>
      <c r="AK25" s="465">
        <f t="shared" si="6"/>
        <v>0</v>
      </c>
      <c r="AL25" s="453">
        <f t="shared" si="7"/>
        <v>0</v>
      </c>
      <c r="AM25" s="63"/>
      <c r="AN25" s="563" t="s">
        <v>116</v>
      </c>
      <c r="AO25" s="255">
        <v>2</v>
      </c>
      <c r="AP25" s="243" t="s">
        <v>246</v>
      </c>
      <c r="AQ25" s="137">
        <f t="shared" si="10"/>
        <v>2</v>
      </c>
    </row>
    <row r="26" spans="1:44" ht="19.5" thickBot="1">
      <c r="A26" s="94">
        <v>19</v>
      </c>
      <c r="B26" s="559"/>
      <c r="C26" s="560"/>
      <c r="D26" s="96"/>
      <c r="E26" s="4"/>
      <c r="F26" s="573" t="s">
        <v>2</v>
      </c>
      <c r="G26" s="475">
        <v>19</v>
      </c>
      <c r="H26" s="182" t="str">
        <f t="shared" si="8"/>
        <v/>
      </c>
      <c r="I26" s="128">
        <f>IF(J26=J27,0,IF(J26&lt;J27,2,4))</f>
        <v>0</v>
      </c>
      <c r="J26" s="576"/>
      <c r="K26" s="44"/>
      <c r="L26" s="522" t="s">
        <v>2</v>
      </c>
      <c r="M26" s="528" t="str">
        <f>IF(J20=J21,"Perdant du 7",IF(J20&lt;J21,H20,H21))</f>
        <v>Perdant du 7</v>
      </c>
      <c r="N26" s="146">
        <f>IF(O26=O27,0,IF(O26&lt;O27,0,1))</f>
        <v>0</v>
      </c>
      <c r="O26" s="631"/>
      <c r="P26" s="44"/>
      <c r="Q26" s="484">
        <v>4</v>
      </c>
      <c r="R26" s="520" t="str">
        <f>IF(O8=O9,"Perdant du 5",IF(O8&lt;O9,M8,M9))</f>
        <v>Perdant du 5</v>
      </c>
      <c r="S26" s="129">
        <f>IF(T25=T26,0,IF(T25&gt;T26,0,1))</f>
        <v>0</v>
      </c>
      <c r="T26" s="512"/>
      <c r="U26" s="44"/>
      <c r="V26" s="483" t="s">
        <v>2</v>
      </c>
      <c r="W26" s="535" t="str">
        <f>IF(T27=T28,"Gagnant du 4",IF(T27&gt;T28,R27,R28))</f>
        <v>Gagnant du 4</v>
      </c>
      <c r="X26" s="171">
        <f>IF(Y26=Y27,0,IF(Y26&lt;Y27,0,1))</f>
        <v>0</v>
      </c>
      <c r="Y26" s="511"/>
      <c r="Z26" s="113"/>
      <c r="AA26" s="137">
        <v>21</v>
      </c>
      <c r="AB26" s="440">
        <f t="shared" si="9"/>
        <v>0</v>
      </c>
      <c r="AC26" s="155" t="str">
        <f t="shared" si="2"/>
        <v/>
      </c>
      <c r="AD26" s="210" t="str">
        <f t="shared" si="3"/>
        <v/>
      </c>
      <c r="AE26" s="210" t="str">
        <f t="shared" si="0"/>
        <v/>
      </c>
      <c r="AF26" s="350" t="str">
        <f t="shared" si="1"/>
        <v/>
      </c>
      <c r="AG26" s="440">
        <f t="shared" si="4"/>
        <v>0</v>
      </c>
      <c r="AH26" s="299">
        <f t="shared" si="5"/>
        <v>1.0024599999999999</v>
      </c>
      <c r="AI26" s="194">
        <f>IF(AB26="","",SMALL(AH$6:AH$27,ROWS(AL$6:AL26)))</f>
        <v>1.0024599999999999</v>
      </c>
      <c r="AJ26" s="652">
        <f>IF(AI26="","",IF(AND(AL25=AL26),$AJ25,$AJ$6+20))</f>
        <v>1</v>
      </c>
      <c r="AK26" s="465">
        <f t="shared" si="6"/>
        <v>0</v>
      </c>
      <c r="AL26" s="453">
        <f t="shared" si="7"/>
        <v>0</v>
      </c>
      <c r="AM26" s="63"/>
      <c r="AN26" s="563" t="s">
        <v>116</v>
      </c>
      <c r="AO26" s="255">
        <v>2</v>
      </c>
      <c r="AP26" s="243" t="s">
        <v>246</v>
      </c>
      <c r="AQ26" s="137">
        <f t="shared" si="10"/>
        <v>2</v>
      </c>
    </row>
    <row r="27" spans="1:44" ht="19.5" thickBot="1">
      <c r="A27" s="94">
        <v>20</v>
      </c>
      <c r="B27" s="557"/>
      <c r="C27" s="558"/>
      <c r="D27" s="96"/>
      <c r="E27" s="4"/>
      <c r="F27" s="574">
        <v>10</v>
      </c>
      <c r="G27" s="476">
        <v>20</v>
      </c>
      <c r="H27" s="198" t="str">
        <f t="shared" si="8"/>
        <v/>
      </c>
      <c r="I27" s="130">
        <f>IF(J26=J27,0,IF(J26&gt;J27,2,4))</f>
        <v>0</v>
      </c>
      <c r="J27" s="577"/>
      <c r="K27" s="44"/>
      <c r="L27" s="526">
        <v>4</v>
      </c>
      <c r="M27" s="527" t="str">
        <f>IF(J22=J23,"Perdant du 8",IF(J22&lt;J23,H22,H23))</f>
        <v>Perdant du 8</v>
      </c>
      <c r="N27" s="129">
        <f>IF(O26=O27,0,IF(O26&gt;O27,0,1))</f>
        <v>0</v>
      </c>
      <c r="O27" s="634"/>
      <c r="P27" s="44"/>
      <c r="Q27" s="509" t="s">
        <v>2</v>
      </c>
      <c r="R27" s="521" t="str">
        <f>IF(O10=O11,"Perdant du 7",IF(O10&lt;O11,M10,M11))</f>
        <v>Perdant du 7</v>
      </c>
      <c r="S27" s="166">
        <f>IF(T27=T28,0,IF(T27&lt;T28,0,1))</f>
        <v>0</v>
      </c>
      <c r="T27" s="636"/>
      <c r="U27" s="44"/>
      <c r="V27" s="484">
        <v>2</v>
      </c>
      <c r="W27" s="520" t="str">
        <f>IF(T29=T30,"Gagnant du 9",IF(T29&gt;T30,R29,R30))</f>
        <v>Perdant du 11</v>
      </c>
      <c r="X27" s="156">
        <f>IF(Y26=Y27,0,IF(Y26&gt;Y27,0,1))</f>
        <v>0</v>
      </c>
      <c r="Y27" s="512"/>
      <c r="Z27" s="113"/>
      <c r="AA27" s="138">
        <v>22</v>
      </c>
      <c r="AB27" s="463">
        <f>+B29</f>
        <v>0</v>
      </c>
      <c r="AC27" s="180" t="str">
        <f t="shared" si="2"/>
        <v/>
      </c>
      <c r="AD27" s="236" t="str">
        <f t="shared" si="3"/>
        <v/>
      </c>
      <c r="AE27" s="236" t="str">
        <f t="shared" si="0"/>
        <v/>
      </c>
      <c r="AF27" s="158" t="str">
        <f t="shared" si="1"/>
        <v/>
      </c>
      <c r="AG27" s="463">
        <f t="shared" si="4"/>
        <v>0</v>
      </c>
      <c r="AH27" s="386">
        <f t="shared" si="5"/>
        <v>1.00247</v>
      </c>
      <c r="AI27" s="387">
        <f>IF(AB27="","",SMALL(AH$6:AH$27,ROWS(AL$6:AL27)))</f>
        <v>1.00247</v>
      </c>
      <c r="AJ27" s="653">
        <f>IF(AI27="","",IF(AND(AL26=AL27),$AJ26,$AJ$6+21))</f>
        <v>1</v>
      </c>
      <c r="AK27" s="470">
        <f t="shared" si="6"/>
        <v>0</v>
      </c>
      <c r="AL27" s="457">
        <f t="shared" si="7"/>
        <v>0</v>
      </c>
      <c r="AM27" s="63"/>
      <c r="AN27" s="142" t="s">
        <v>116</v>
      </c>
      <c r="AO27" s="253">
        <v>2</v>
      </c>
      <c r="AP27" s="247" t="s">
        <v>246</v>
      </c>
      <c r="AQ27" s="138">
        <f t="shared" si="10"/>
        <v>2</v>
      </c>
    </row>
    <row r="28" spans="1:44" ht="19.5" thickBot="1">
      <c r="A28" s="94">
        <v>21</v>
      </c>
      <c r="B28" s="545"/>
      <c r="C28" s="560"/>
      <c r="D28" s="96"/>
      <c r="E28" s="4"/>
      <c r="F28" s="573" t="s">
        <v>2</v>
      </c>
      <c r="G28" s="475">
        <v>21</v>
      </c>
      <c r="H28" s="182" t="str">
        <f t="shared" si="8"/>
        <v/>
      </c>
      <c r="I28" s="128">
        <f>IF(J28=J29,0,IF(J28&lt;J29,2,4))</f>
        <v>0</v>
      </c>
      <c r="J28" s="576"/>
      <c r="K28" s="44"/>
      <c r="L28" s="522" t="s">
        <v>2</v>
      </c>
      <c r="M28" s="528" t="str">
        <f>IF(J24=J25,"Perdant du 9",IF(J24&lt;J25,H24,H25))</f>
        <v>Perdant du 9</v>
      </c>
      <c r="N28" s="146">
        <f>IF(O28=O29,0,IF(O28&lt;O29,0,1))</f>
        <v>0</v>
      </c>
      <c r="O28" s="631"/>
      <c r="P28" s="44"/>
      <c r="Q28" s="598">
        <v>1</v>
      </c>
      <c r="R28" s="628" t="str">
        <f>IF(O12=O13,"Perdant du 1",IF(O12&lt;O13,M12,M13))</f>
        <v>Perdant du 1</v>
      </c>
      <c r="S28" s="226">
        <f>IF(T27=T28,0,IF(T27&gt;T28,0,1))</f>
        <v>0</v>
      </c>
      <c r="T28" s="637"/>
      <c r="U28" s="44"/>
      <c r="W28" s="64"/>
      <c r="Z28" s="63"/>
      <c r="AA28" s="113"/>
      <c r="AB28" s="113"/>
      <c r="AC28" s="113">
        <f>SUM(AC6:AC27)</f>
        <v>0</v>
      </c>
      <c r="AD28" s="113">
        <f>SUM(AD6:AD27)</f>
        <v>0</v>
      </c>
      <c r="AE28" s="113">
        <f>SUM(AE6:AE27)</f>
        <v>0</v>
      </c>
      <c r="AF28" s="113">
        <f>SUM(AF6:AF27)</f>
        <v>0</v>
      </c>
      <c r="AG28" s="113">
        <f>SUM(AG6:AG27)</f>
        <v>0</v>
      </c>
      <c r="AH28" s="113"/>
      <c r="AI28" s="113"/>
      <c r="AJ28" s="113"/>
      <c r="AK28" s="113"/>
      <c r="AL28" s="139">
        <f>SUM(AL6:AL27)</f>
        <v>0</v>
      </c>
      <c r="AM28" s="63"/>
      <c r="AN28" s="113"/>
      <c r="AO28" s="113"/>
      <c r="AP28" s="113"/>
    </row>
    <row r="29" spans="1:44" ht="19.5" thickBot="1">
      <c r="A29" s="110">
        <v>22</v>
      </c>
      <c r="B29" s="621"/>
      <c r="C29" s="588"/>
      <c r="D29" s="111"/>
      <c r="E29" s="4"/>
      <c r="F29" s="574">
        <v>11</v>
      </c>
      <c r="G29" s="476">
        <v>22</v>
      </c>
      <c r="H29" s="198" t="str">
        <f t="shared" si="8"/>
        <v/>
      </c>
      <c r="I29" s="130">
        <f>IF(J28=J29,0,IF(J28&gt;J29,2,4))</f>
        <v>0</v>
      </c>
      <c r="J29" s="577"/>
      <c r="K29" s="44"/>
      <c r="L29" s="524">
        <v>6</v>
      </c>
      <c r="M29" s="534" t="str">
        <f>IF(J26=J27,"Perdant du 10",IF(J26&lt;J27,H26,H27))</f>
        <v>Perdant du 10</v>
      </c>
      <c r="N29" s="156">
        <f>IF(O28=O29,0,IF(O28&gt;O29,0,1))</f>
        <v>0</v>
      </c>
      <c r="O29" s="632"/>
      <c r="P29" s="4"/>
      <c r="Q29" s="483" t="s">
        <v>2</v>
      </c>
      <c r="R29" s="640" t="str">
        <f>IF(O14=O15,"Perdant du 11",IF(O14&lt;O15,M14,M15))</f>
        <v>Perdant du 11</v>
      </c>
      <c r="S29" s="123">
        <v>0.5</v>
      </c>
      <c r="T29" s="121">
        <v>1</v>
      </c>
      <c r="U29" s="44"/>
      <c r="V29" s="723"/>
      <c r="W29" s="519" t="str">
        <f>IF(T25=T26,"Gagnant du 4",IF(T25&gt;T26,R25,R26))</f>
        <v>Gagnant du 4</v>
      </c>
      <c r="X29" s="123">
        <v>0.5</v>
      </c>
      <c r="Y29" s="121">
        <v>1</v>
      </c>
      <c r="Z29" s="6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31"/>
      <c r="AL29" s="131"/>
      <c r="AM29" s="63"/>
      <c r="AR29" s="30"/>
    </row>
    <row r="30" spans="1:44" ht="19.5" thickBot="1">
      <c r="A30" s="4"/>
      <c r="B30" s="4"/>
      <c r="C30" s="4"/>
      <c r="D30" s="4"/>
      <c r="E30" s="4"/>
      <c r="F30" s="4"/>
      <c r="G30" s="4"/>
      <c r="H30" s="135"/>
      <c r="I30" s="135"/>
      <c r="J30" s="383"/>
      <c r="K30" s="4"/>
      <c r="L30" s="522" t="s">
        <v>2</v>
      </c>
      <c r="M30" s="519" t="str">
        <f>IF(J28=J29,"Perdant du 11",IF(J28&lt;J29,H28,H29))</f>
        <v>Perdant du 11</v>
      </c>
      <c r="N30" s="123">
        <v>0.5</v>
      </c>
      <c r="O30" s="121">
        <v>1</v>
      </c>
      <c r="P30" s="119"/>
      <c r="Q30" s="282">
        <v>9</v>
      </c>
      <c r="R30" s="118" t="s">
        <v>105</v>
      </c>
      <c r="S30" s="124"/>
      <c r="T30" s="122"/>
      <c r="U30" s="44"/>
      <c r="V30" s="282"/>
      <c r="W30" s="118" t="s">
        <v>105</v>
      </c>
      <c r="X30" s="124"/>
      <c r="Y30" s="122"/>
      <c r="Z30" s="120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131"/>
      <c r="AL30" s="131"/>
      <c r="AM30" s="63"/>
      <c r="AN30" s="30"/>
      <c r="AO30" s="30"/>
      <c r="AP30" s="30"/>
      <c r="AQ30" s="30"/>
      <c r="AR30" s="30"/>
    </row>
    <row r="31" spans="1:44" ht="19.5" thickBot="1">
      <c r="A31" s="4"/>
      <c r="B31" s="4"/>
      <c r="C31" s="4"/>
      <c r="D31" s="4"/>
      <c r="E31" s="4"/>
      <c r="F31" s="4"/>
      <c r="G31" s="4"/>
      <c r="H31" s="135"/>
      <c r="I31" s="135"/>
      <c r="J31" s="4"/>
      <c r="K31" s="135"/>
      <c r="L31" s="282">
        <v>12</v>
      </c>
      <c r="M31" s="118" t="s">
        <v>105</v>
      </c>
      <c r="N31" s="124"/>
      <c r="O31" s="122"/>
      <c r="P31" s="119"/>
      <c r="U31" s="44"/>
      <c r="V31" s="119"/>
      <c r="W31" s="119"/>
      <c r="X31" s="119"/>
      <c r="Y31" s="119"/>
      <c r="Z31" s="120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M31" s="63"/>
      <c r="AN31" s="30"/>
      <c r="AO31" s="30"/>
      <c r="AP31" s="30"/>
      <c r="AQ31" s="30"/>
      <c r="AR31" s="30"/>
    </row>
    <row r="32" spans="1:44" ht="18.75">
      <c r="A32" s="4"/>
      <c r="B32" s="641" t="s">
        <v>228</v>
      </c>
      <c r="C32" s="4"/>
      <c r="D32" s="778" t="s">
        <v>45</v>
      </c>
      <c r="E32" s="778"/>
      <c r="F32" s="778"/>
      <c r="G32" s="385"/>
      <c r="H32" s="260"/>
      <c r="I32" s="135"/>
      <c r="J32" s="119"/>
      <c r="K32" s="119"/>
      <c r="P32" s="119"/>
      <c r="U32" s="4"/>
      <c r="V32" s="119"/>
      <c r="W32" s="119"/>
      <c r="X32" s="119"/>
      <c r="Y32" s="119"/>
      <c r="Z32" s="120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M32" s="63"/>
      <c r="AN32" s="30"/>
      <c r="AO32" s="30"/>
      <c r="AP32" s="30"/>
      <c r="AQ32" s="30"/>
      <c r="AR32" s="30"/>
    </row>
    <row r="33" spans="1:44" ht="19.5" thickBot="1">
      <c r="A33" s="4"/>
      <c r="C33" s="4"/>
      <c r="D33" s="44"/>
      <c r="E33" s="4"/>
      <c r="F33" s="385"/>
      <c r="G33" s="385"/>
      <c r="H33" s="260"/>
      <c r="I33" s="135"/>
      <c r="J33" s="119"/>
      <c r="K33" s="119"/>
      <c r="P33" s="119"/>
      <c r="U33" s="4"/>
      <c r="V33" s="119"/>
      <c r="W33" s="119"/>
      <c r="X33" s="119"/>
      <c r="Y33" s="119"/>
      <c r="Z33" s="120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M33" s="63"/>
      <c r="AN33" s="30"/>
      <c r="AO33" s="30"/>
      <c r="AP33" s="30"/>
      <c r="AQ33" s="30"/>
      <c r="AR33" s="30"/>
    </row>
    <row r="34" spans="1:44" ht="19.5" thickBot="1">
      <c r="A34" s="4"/>
      <c r="C34" s="4"/>
      <c r="D34" s="44"/>
      <c r="E34" s="4"/>
      <c r="F34" s="385"/>
      <c r="G34" s="385"/>
      <c r="H34" s="260"/>
      <c r="I34" s="4">
        <f>SUM(I8:I32)</f>
        <v>0</v>
      </c>
      <c r="J34" s="119"/>
      <c r="K34" s="119"/>
      <c r="L34" s="135"/>
      <c r="M34" s="135"/>
      <c r="N34" s="131">
        <f>SUM(N6:N31)</f>
        <v>1.5</v>
      </c>
      <c r="O34" s="147"/>
      <c r="P34" s="4"/>
      <c r="Q34" s="119"/>
      <c r="S34" s="4">
        <f>SUM(S7:S30)</f>
        <v>0.5</v>
      </c>
      <c r="V34" s="119"/>
      <c r="W34" s="119"/>
      <c r="X34" s="4">
        <f>SUM(X8:X29)</f>
        <v>2</v>
      </c>
      <c r="Y34" s="119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284">
        <f>SUM(I34:X34)</f>
        <v>4</v>
      </c>
      <c r="AM34" s="119"/>
      <c r="AN34" s="30"/>
      <c r="AO34" s="30"/>
      <c r="AP34" s="30"/>
      <c r="AQ34" s="30"/>
      <c r="AR34" s="30"/>
    </row>
    <row r="35" spans="1:44" ht="19.5" thickBot="1">
      <c r="A35" s="4"/>
      <c r="B35" s="30"/>
      <c r="C35" s="4"/>
      <c r="D35" s="4"/>
      <c r="E35" s="4"/>
      <c r="F35" s="4"/>
      <c r="G35" s="4"/>
      <c r="H35" s="135"/>
      <c r="I35" s="4"/>
      <c r="J35" s="119"/>
      <c r="K35" s="119"/>
      <c r="L35" s="119"/>
      <c r="M35" s="135"/>
      <c r="N35" s="119"/>
      <c r="O35" s="44"/>
      <c r="P35" s="120"/>
      <c r="Q35" s="119"/>
      <c r="R35" s="119"/>
      <c r="W35" s="119"/>
      <c r="X35" s="383"/>
      <c r="Y35" s="383"/>
      <c r="Z35" s="131"/>
      <c r="AA35" s="44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30"/>
      <c r="AO35" s="30"/>
      <c r="AP35" s="30"/>
      <c r="AQ35" s="30"/>
    </row>
    <row r="36" spans="1:44" ht="19.5" thickBot="1">
      <c r="A36" s="119"/>
      <c r="B36" s="119"/>
      <c r="C36" s="119"/>
      <c r="D36" s="119"/>
      <c r="E36" s="119"/>
      <c r="F36" s="119"/>
      <c r="G36" s="119"/>
      <c r="H36" s="383"/>
      <c r="I36" s="119">
        <v>66</v>
      </c>
      <c r="J36" s="119"/>
      <c r="K36" s="119"/>
      <c r="L36" s="119"/>
      <c r="M36" s="119"/>
      <c r="N36" s="119">
        <v>16.5</v>
      </c>
      <c r="O36" s="4"/>
      <c r="P36" s="120"/>
      <c r="Q36" s="119"/>
      <c r="S36" s="4">
        <v>11.5</v>
      </c>
      <c r="U36" s="4"/>
      <c r="V36" s="4"/>
      <c r="W36" s="119"/>
      <c r="X36" s="30">
        <v>6</v>
      </c>
      <c r="AG36" s="120"/>
      <c r="AH36" s="120"/>
      <c r="AI36" s="120"/>
      <c r="AJ36" s="120"/>
      <c r="AK36" s="284">
        <f>SUM(I36:X36)</f>
        <v>100</v>
      </c>
      <c r="AL36" s="120"/>
      <c r="AM36" s="120"/>
      <c r="AN36" s="120"/>
      <c r="AO36" s="119"/>
      <c r="AP36" s="30"/>
      <c r="AQ36" s="30"/>
      <c r="AR36" s="30"/>
    </row>
    <row r="37" spans="1:44" ht="18.75">
      <c r="A37" s="119"/>
      <c r="B37" s="44"/>
      <c r="C37" s="44" t="s">
        <v>41</v>
      </c>
      <c r="D37" s="44"/>
      <c r="E37" s="119"/>
      <c r="F37" s="119"/>
      <c r="G37" s="119"/>
      <c r="H37" s="119"/>
      <c r="I37" s="119"/>
      <c r="J37" s="119"/>
      <c r="K37" s="119"/>
      <c r="N37" s="119"/>
      <c r="O37" s="119"/>
      <c r="P37" s="120"/>
      <c r="Q37" s="119"/>
      <c r="S37" s="119"/>
      <c r="T37" s="119"/>
      <c r="U37" s="119"/>
      <c r="V37" s="119"/>
      <c r="W37" s="119"/>
      <c r="AG37" s="120"/>
      <c r="AH37" s="120"/>
      <c r="AI37" s="120"/>
      <c r="AJ37" s="120"/>
      <c r="AK37" s="120"/>
      <c r="AL37" s="120"/>
      <c r="AM37" s="120"/>
      <c r="AO37" s="119"/>
      <c r="AP37" s="30"/>
      <c r="AQ37" s="30"/>
      <c r="AR37" s="30"/>
    </row>
    <row r="38" spans="1:44" ht="18.75">
      <c r="A38" s="119"/>
      <c r="B38" s="144" t="s">
        <v>42</v>
      </c>
      <c r="C38" s="214" t="s">
        <v>101</v>
      </c>
      <c r="D38" s="44"/>
      <c r="E38" s="119"/>
      <c r="F38" s="119"/>
      <c r="G38" s="119"/>
      <c r="H38" s="119"/>
      <c r="J38" s="119"/>
      <c r="K38" s="119"/>
      <c r="AN38" s="120"/>
      <c r="AO38" s="119"/>
      <c r="AP38" s="30"/>
      <c r="AQ38" s="30"/>
      <c r="AR38" s="30"/>
    </row>
    <row r="39" spans="1:44" ht="18.75">
      <c r="B39" s="145" t="s">
        <v>43</v>
      </c>
      <c r="C39" s="214" t="s">
        <v>102</v>
      </c>
      <c r="D39" s="41"/>
      <c r="E39" s="119"/>
    </row>
  </sheetData>
  <sheetProtection password="CFC3" sheet="1" objects="1" scenarios="1" formatCells="0" formatColumns="0" formatRows="0" insertColumns="0" insertRows="0" insertHyperlinks="0" deleteColumns="0" deleteRows="0" sort="0"/>
  <mergeCells count="3">
    <mergeCell ref="AK4:AL4"/>
    <mergeCell ref="AO4:AQ4"/>
    <mergeCell ref="D32:F32"/>
  </mergeCells>
  <conditionalFormatting sqref="AJ6:AJ27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A27"/>
  <sheetViews>
    <sheetView showFormulas="1" view="pageBreakPreview" zoomScale="80" zoomScaleNormal="90" zoomScaleSheetLayoutView="80" workbookViewId="0">
      <selection activeCell="B33" sqref="B33"/>
    </sheetView>
  </sheetViews>
  <sheetFormatPr baseColWidth="10" defaultRowHeight="15"/>
  <cols>
    <col min="1" max="1" width="13.5703125" style="1" customWidth="1"/>
    <col min="2" max="2" width="8.7109375" style="1" customWidth="1"/>
    <col min="3" max="3" width="4.140625" style="1" customWidth="1"/>
    <col min="4" max="4" width="6" style="1" customWidth="1"/>
    <col min="5" max="5" width="14.5703125" style="1" customWidth="1"/>
    <col min="6" max="6" width="1.85546875" style="1" customWidth="1"/>
    <col min="7" max="7" width="1.28515625" style="1" customWidth="1"/>
    <col min="8" max="8" width="50" style="1" customWidth="1"/>
    <col min="9" max="9" width="15.42578125" style="1" customWidth="1"/>
    <col min="10" max="10" width="2.28515625" style="1" customWidth="1"/>
    <col min="11" max="11" width="2.28515625" customWidth="1"/>
    <col min="12" max="12" width="2.140625" style="1" customWidth="1"/>
    <col min="13" max="13" width="27.5703125" style="1" customWidth="1"/>
    <col min="14" max="14" width="19.85546875" style="1" bestFit="1" customWidth="1"/>
    <col min="15" max="16" width="5.140625" style="1" customWidth="1"/>
    <col min="17" max="17" width="8.7109375" style="1" customWidth="1"/>
    <col min="18" max="18" width="1.7109375" style="1" customWidth="1"/>
    <col min="19" max="19" width="4" style="1" customWidth="1"/>
    <col min="20" max="20" width="50.5703125" style="1" customWidth="1"/>
    <col min="21" max="21" width="2.5703125" style="1" customWidth="1"/>
    <col min="22" max="22" width="2.42578125" style="1" customWidth="1"/>
    <col min="23" max="23" width="9.7109375" style="1" customWidth="1"/>
    <col min="24" max="24" width="50.85546875" style="1" customWidth="1"/>
    <col min="25" max="25" width="23.7109375" style="1" customWidth="1"/>
    <col min="26" max="26" width="44.5703125" style="1" customWidth="1"/>
    <col min="27" max="27" width="3.28515625" style="1" customWidth="1"/>
    <col min="28" max="16384" width="11.42578125" style="1"/>
  </cols>
  <sheetData>
    <row r="1" spans="1:27" s="5" customFormat="1" ht="21.75" customHeight="1">
      <c r="A1" s="44" t="s">
        <v>195</v>
      </c>
      <c r="B1" s="44" t="s">
        <v>196</v>
      </c>
      <c r="C1" s="44" t="s">
        <v>197</v>
      </c>
      <c r="D1" s="44" t="s">
        <v>198</v>
      </c>
      <c r="E1" s="44" t="s">
        <v>199</v>
      </c>
      <c r="F1" s="44" t="s">
        <v>200</v>
      </c>
      <c r="G1" s="44" t="s">
        <v>201</v>
      </c>
      <c r="H1" s="44" t="s">
        <v>202</v>
      </c>
      <c r="I1" s="44" t="s">
        <v>203</v>
      </c>
      <c r="J1" s="5" t="s">
        <v>204</v>
      </c>
      <c r="K1" s="5" t="s">
        <v>205</v>
      </c>
      <c r="L1" s="5" t="s">
        <v>206</v>
      </c>
      <c r="M1" s="5" t="s">
        <v>207</v>
      </c>
      <c r="N1" s="5" t="s">
        <v>208</v>
      </c>
      <c r="O1" s="5" t="s">
        <v>209</v>
      </c>
      <c r="P1" s="5" t="s">
        <v>43</v>
      </c>
      <c r="Q1" s="5" t="s">
        <v>214</v>
      </c>
      <c r="R1" s="5" t="s">
        <v>215</v>
      </c>
      <c r="S1" s="5" t="s">
        <v>216</v>
      </c>
      <c r="T1" s="5" t="s">
        <v>217</v>
      </c>
      <c r="U1" s="5" t="s">
        <v>218</v>
      </c>
      <c r="V1" s="5" t="s">
        <v>219</v>
      </c>
      <c r="W1" s="5" t="s">
        <v>220</v>
      </c>
      <c r="X1" s="5" t="s">
        <v>221</v>
      </c>
      <c r="Y1" s="5" t="s">
        <v>223</v>
      </c>
      <c r="Z1" s="5" t="s">
        <v>224</v>
      </c>
      <c r="AA1" s="5" t="s">
        <v>226</v>
      </c>
    </row>
    <row r="2" spans="1:27" ht="19.5" thickBot="1">
      <c r="A2" s="44"/>
      <c r="B2" s="44"/>
      <c r="C2" s="44"/>
      <c r="D2" s="46"/>
      <c r="E2" s="46"/>
      <c r="F2" s="46"/>
      <c r="G2" s="46"/>
      <c r="H2" s="46"/>
      <c r="I2" s="46"/>
      <c r="Q2" s="46"/>
      <c r="R2" s="46"/>
      <c r="S2" s="140"/>
      <c r="Y2" s="5"/>
      <c r="Z2" s="5"/>
    </row>
    <row r="3" spans="1:27" ht="20.25" thickBot="1">
      <c r="A3" s="44"/>
      <c r="B3" s="761" t="s">
        <v>50</v>
      </c>
      <c r="C3" s="762"/>
      <c r="D3" s="44"/>
      <c r="E3" s="44"/>
      <c r="F3" s="765" t="s">
        <v>44</v>
      </c>
      <c r="G3" s="765"/>
      <c r="H3" s="43"/>
      <c r="I3" s="43"/>
      <c r="J3" s="43"/>
      <c r="L3" s="765" t="s">
        <v>22</v>
      </c>
      <c r="M3" s="765"/>
      <c r="N3" s="44"/>
      <c r="O3" s="44"/>
      <c r="Q3" s="44"/>
      <c r="R3" s="44"/>
      <c r="S3" s="113"/>
      <c r="AA3" s="140"/>
    </row>
    <row r="4" spans="1:27" ht="19.5" thickBot="1">
      <c r="A4" s="44"/>
      <c r="B4" s="44"/>
      <c r="C4" s="44"/>
      <c r="D4" s="44"/>
      <c r="E4" s="44"/>
      <c r="F4" s="44"/>
      <c r="G4" s="44"/>
      <c r="H4" s="46" t="s">
        <v>3</v>
      </c>
      <c r="I4" s="44"/>
      <c r="L4" s="46"/>
      <c r="M4" s="46" t="s">
        <v>5</v>
      </c>
      <c r="N4" s="189"/>
      <c r="O4" s="140"/>
      <c r="Q4" s="46"/>
      <c r="R4" s="113"/>
      <c r="S4" s="113"/>
      <c r="Y4" s="339" t="s">
        <v>129</v>
      </c>
      <c r="Z4" s="340"/>
      <c r="AA4" s="140"/>
    </row>
    <row r="5" spans="1:27" ht="19.5" thickBot="1">
      <c r="A5" s="44"/>
      <c r="B5" s="44"/>
      <c r="C5" s="44"/>
      <c r="D5" s="44"/>
      <c r="E5" s="44"/>
      <c r="F5" s="44"/>
      <c r="G5" s="44"/>
      <c r="H5" s="46"/>
      <c r="I5" s="46"/>
      <c r="L5" s="44"/>
      <c r="M5" s="44" t="s">
        <v>6</v>
      </c>
      <c r="N5" s="113" t="s">
        <v>108</v>
      </c>
      <c r="O5" s="44" t="s">
        <v>107</v>
      </c>
      <c r="Q5" s="46"/>
      <c r="R5"/>
      <c r="S5"/>
      <c r="Y5"/>
      <c r="Z5" s="161"/>
      <c r="AA5" s="161"/>
    </row>
    <row r="6" spans="1:27" ht="19.5" thickBot="1">
      <c r="A6" s="190"/>
      <c r="B6" s="329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4" t="s">
        <v>108</v>
      </c>
      <c r="J6" s="44" t="s">
        <v>107</v>
      </c>
      <c r="L6" s="92" t="s">
        <v>2</v>
      </c>
      <c r="M6" s="117">
        <f>IF(I7=I8,"Gagnant du 1",IF(I7&gt;I8,G7,G8))</f>
        <v>1</v>
      </c>
      <c r="N6" s="211">
        <f>IF(O6=O7,0,IF(O6&lt;O7,0,1))</f>
        <v>0</v>
      </c>
      <c r="O6" s="91">
        <v>1</v>
      </c>
      <c r="Q6" s="46"/>
      <c r="R6" s="113"/>
      <c r="S6" s="327" t="s">
        <v>111</v>
      </c>
      <c r="T6" s="304" t="s">
        <v>189</v>
      </c>
      <c r="U6" s="304" t="s">
        <v>190</v>
      </c>
      <c r="V6" s="303" t="s">
        <v>191</v>
      </c>
      <c r="W6" s="141" t="s">
        <v>193</v>
      </c>
      <c r="X6" s="328" t="s">
        <v>109</v>
      </c>
      <c r="Y6" s="327" t="s">
        <v>194</v>
      </c>
      <c r="Z6" s="141" t="s">
        <v>111</v>
      </c>
      <c r="AA6" s="161"/>
    </row>
    <row r="7" spans="1:27" ht="19.5" thickBot="1">
      <c r="A7" s="87">
        <v>1</v>
      </c>
      <c r="B7" s="186" t="s">
        <v>184</v>
      </c>
      <c r="C7" s="88"/>
      <c r="D7" s="89">
        <v>1</v>
      </c>
      <c r="E7" s="44"/>
      <c r="F7" s="90" t="s">
        <v>2</v>
      </c>
      <c r="G7" s="182">
        <v>1</v>
      </c>
      <c r="H7" s="182" t="str">
        <f>IF(ISNA(MATCH(G7,$D$7:$D$12,0)),"",INDEX(B$7:$B$12,MATCH(G7,$D$7:$D$12,0)))</f>
        <v>Alain</v>
      </c>
      <c r="I7" s="269">
        <f>IF(J6=J7,0,IF(J6&lt;J7,2,3))</f>
        <v>3</v>
      </c>
      <c r="J7" s="173">
        <v>1</v>
      </c>
      <c r="L7" s="99">
        <v>2</v>
      </c>
      <c r="M7" s="218">
        <f>IF(I11=I12,"Gagnant du 3",IF(I11&gt;I12,G11,G12))</f>
        <v>5</v>
      </c>
      <c r="N7" s="227">
        <f>IF(O6=O7,0,IF(O6&gt;O7,0,1))</f>
        <v>1</v>
      </c>
      <c r="O7" s="98">
        <v>6</v>
      </c>
      <c r="Q7" s="44"/>
      <c r="R7" s="208">
        <v>1</v>
      </c>
      <c r="S7" s="318" t="str">
        <f t="shared" ref="S7:S12" si="0">+B6</f>
        <v>EQUIPES</v>
      </c>
      <c r="T7" s="307" t="str">
        <f t="shared" ref="T7:T12" si="1">IF(ISNA(VLOOKUP(S7,$H$6:$H$11,2,0)),"",VLOOKUP(S7,$H$6:$I$11,2,0))</f>
        <v/>
      </c>
      <c r="U7" s="211" t="str">
        <f>IF(ISNA(VLOOKUP(S7,$M$5:$N$12,2,0)),"",VLOOKUP(S7,$M$5:$N$12,2,0))</f>
        <v/>
      </c>
      <c r="V7" s="269" t="e">
        <f>IF(ISNA(VLOOKUP(S7,#REF!,3,0)),"",VLOOKUP(S7,#REF!,2,0))</f>
        <v>#REF!</v>
      </c>
      <c r="W7" s="331" t="e">
        <f t="shared" ref="W7:W12" si="2">SUM(T7:V7)</f>
        <v>#REF!</v>
      </c>
      <c r="X7" s="319" t="e">
        <f>IF(OR(S7="",W7=""),"",RANK(W7,$W$6:$W$11)+COUNTIF(S$6:S$11,"&lt;="&amp;S7+1)/10000+ROW()/100000)</f>
        <v>#REF!</v>
      </c>
      <c r="Y7" s="323" t="e">
        <f>IF(#REF!="","",1)</f>
        <v>#REF!</v>
      </c>
      <c r="Z7" s="320" t="e">
        <f>IF(OR(S6="",W6=""),"",INDEX($S$6:$S$11,MATCH(#REF!,$X$6:$X$11,0)))</f>
        <v>#REF!</v>
      </c>
      <c r="AA7" s="161"/>
    </row>
    <row r="8" spans="1:27" ht="19.5" thickBot="1">
      <c r="A8" s="94">
        <v>2</v>
      </c>
      <c r="B8" s="187" t="s">
        <v>185</v>
      </c>
      <c r="C8" s="95"/>
      <c r="D8" s="96">
        <v>2</v>
      </c>
      <c r="E8" s="44"/>
      <c r="F8" s="97">
        <v>1</v>
      </c>
      <c r="G8" s="198">
        <v>2</v>
      </c>
      <c r="H8" s="183" t="str">
        <f>IF(ISNA(MATCH(G8,$D$7:$D$12,0)),"",INDEX(B$7:$B$12,MATCH(G8,$D$7:$D$12,0)))</f>
        <v>Marc</v>
      </c>
      <c r="I8" s="130">
        <f>IF(J6=J7,0,IF(J6&gt;J7,2,3))</f>
        <v>2</v>
      </c>
      <c r="J8" s="174">
        <v>5</v>
      </c>
      <c r="L8" s="92" t="s">
        <v>2</v>
      </c>
      <c r="M8" s="219">
        <f>IF(I9=I10,"Gagnant du 2",IF(I9&gt;I10,G9,G10))</f>
        <v>3</v>
      </c>
      <c r="N8" s="152">
        <v>0.5</v>
      </c>
      <c r="O8" s="234">
        <v>1</v>
      </c>
      <c r="Q8"/>
      <c r="R8" s="209">
        <v>2</v>
      </c>
      <c r="S8" s="308" t="str">
        <f t="shared" si="0"/>
        <v>Alain</v>
      </c>
      <c r="T8" s="332">
        <f t="shared" si="1"/>
        <v>3</v>
      </c>
      <c r="U8" s="210" t="str">
        <f t="shared" ref="U8:U12" si="3">IF(ISNA(VLOOKUP(S8,$M$5:$N$12,2,0)),"",VLOOKUP(S8,$M$5:$N$12,2,0))</f>
        <v/>
      </c>
      <c r="V8" s="157" t="e">
        <f>IF(ISNA(VLOOKUP(S8,#REF!,3,0)),"",VLOOKUP(S8,#REF!,2,0))</f>
        <v>#REF!</v>
      </c>
      <c r="W8" s="331" t="e">
        <f t="shared" si="2"/>
        <v>#REF!</v>
      </c>
      <c r="X8" s="299" t="e">
        <f t="shared" ref="X8:X12" si="4">IF(OR(S8="",W8=""),"",RANK(W8,$W$6:$W$11)+COUNTIF(S$6:S$11,"&lt;="&amp;S8+1)/10000+ROW()/100000)</f>
        <v>#REF!</v>
      </c>
      <c r="Y8" s="324" t="e">
        <f>IF(#REF!="","",IF(AND(#REF!=#REF!),Y7,Y7+1))</f>
        <v>#REF!</v>
      </c>
      <c r="Z8" s="317" t="e">
        <f>IF(OR(S7="",W7=""),"",INDEX($S$6:$S$11,MATCH(#REF!,$X$6:$X$11,0)))</f>
        <v>#REF!</v>
      </c>
      <c r="AA8" s="161"/>
    </row>
    <row r="9" spans="1:27" ht="19.5" thickBot="1">
      <c r="A9" s="94">
        <v>3</v>
      </c>
      <c r="B9" s="188" t="s">
        <v>186</v>
      </c>
      <c r="C9" s="101"/>
      <c r="D9" s="96">
        <v>3</v>
      </c>
      <c r="E9" s="44"/>
      <c r="F9" s="90" t="s">
        <v>2</v>
      </c>
      <c r="G9" s="182">
        <v>3</v>
      </c>
      <c r="H9" s="184" t="str">
        <f>IF(ISNA(MATCH(G9,$D$7:$D$12,0)),"",INDEX(B$7:$B$12,MATCH(G9,$D$7:$D$12,0)))</f>
        <v>Michel</v>
      </c>
      <c r="I9" s="172">
        <f>IF(J8=J9,0,IF(J8&lt;J9,2,3))</f>
        <v>3</v>
      </c>
      <c r="J9" s="175">
        <v>1</v>
      </c>
      <c r="L9" s="99">
        <v>5</v>
      </c>
      <c r="M9" s="118" t="s">
        <v>105</v>
      </c>
      <c r="N9" s="153">
        <v>0</v>
      </c>
      <c r="O9" s="235"/>
      <c r="Q9"/>
      <c r="R9" s="209">
        <v>3</v>
      </c>
      <c r="S9" s="308" t="str">
        <f t="shared" si="0"/>
        <v>Marc</v>
      </c>
      <c r="T9" s="332">
        <f t="shared" si="1"/>
        <v>2</v>
      </c>
      <c r="U9" s="210" t="str">
        <f t="shared" si="3"/>
        <v/>
      </c>
      <c r="V9" s="157" t="e">
        <f>IF(ISNA(VLOOKUP(S9,#REF!,3,0)),"",VLOOKUP(S9,#REF!,2,0))</f>
        <v>#REF!</v>
      </c>
      <c r="W9" s="331" t="e">
        <f t="shared" si="2"/>
        <v>#REF!</v>
      </c>
      <c r="X9" s="299" t="e">
        <f t="shared" si="4"/>
        <v>#REF!</v>
      </c>
      <c r="Y9" s="324" t="e">
        <f>IF(#REF!="","",IF(AND(#REF!=#REF!),Y8,Y8+1))</f>
        <v>#REF!</v>
      </c>
      <c r="Z9" s="317" t="e">
        <f>IF(OR(S8="",W8=""),"",INDEX($S$6:$S$11,MATCH(#REF!,$X$6:$X$11,0)))</f>
        <v>#REF!</v>
      </c>
      <c r="AA9" s="161"/>
    </row>
    <row r="10" spans="1:27" ht="19.5" thickBot="1">
      <c r="A10" s="94">
        <v>4</v>
      </c>
      <c r="B10" s="187" t="s">
        <v>187</v>
      </c>
      <c r="C10" s="95"/>
      <c r="D10" s="96">
        <v>4</v>
      </c>
      <c r="E10" s="44"/>
      <c r="F10" s="97">
        <v>2</v>
      </c>
      <c r="G10" s="198">
        <v>4</v>
      </c>
      <c r="H10" s="185" t="str">
        <f>IF(ISNA(MATCH(G10,$D$7:$D$12,0)),"",INDEX(B$7:$B$12,MATCH(G10,$D$7:$D$12,0)))</f>
        <v>Guy</v>
      </c>
      <c r="I10" s="130">
        <f>IF(J8=J9,0,IF(J8&gt;J9,2,3))</f>
        <v>2</v>
      </c>
      <c r="J10" s="176">
        <v>6</v>
      </c>
      <c r="L10" s="161"/>
      <c r="M10" s="192"/>
      <c r="N10" s="192"/>
      <c r="O10" s="161"/>
      <c r="Q10" s="161"/>
      <c r="R10" s="209">
        <v>4</v>
      </c>
      <c r="S10" s="308" t="str">
        <f t="shared" si="0"/>
        <v>Michel</v>
      </c>
      <c r="T10" s="332">
        <f t="shared" si="1"/>
        <v>3</v>
      </c>
      <c r="U10" s="210" t="str">
        <f t="shared" si="3"/>
        <v/>
      </c>
      <c r="V10" s="157" t="e">
        <f>IF(ISNA(VLOOKUP(S10,#REF!,3,0)),"",VLOOKUP(S10,#REF!,2,0))</f>
        <v>#REF!</v>
      </c>
      <c r="W10" s="331" t="e">
        <f t="shared" si="2"/>
        <v>#REF!</v>
      </c>
      <c r="X10" s="299" t="e">
        <f t="shared" si="4"/>
        <v>#REF!</v>
      </c>
      <c r="Y10" s="324" t="e">
        <f>IF(#REF!="","",IF(AND(#REF!=#REF!),Y9,Y9+1))</f>
        <v>#REF!</v>
      </c>
      <c r="Z10" s="326" t="e">
        <f>IF(OR(S9="",W9=""),"",INDEX($S$6:$S$11,MATCH(#REF!,$X$6:$X$11,0)))</f>
        <v>#REF!</v>
      </c>
      <c r="AA10" s="161"/>
    </row>
    <row r="11" spans="1:27" ht="19.5" thickBot="1">
      <c r="A11" s="94">
        <v>5</v>
      </c>
      <c r="B11" s="188" t="s">
        <v>188</v>
      </c>
      <c r="C11" s="101"/>
      <c r="D11" s="96">
        <v>5</v>
      </c>
      <c r="E11" s="44"/>
      <c r="F11" s="90" t="s">
        <v>2</v>
      </c>
      <c r="G11" s="182">
        <v>5</v>
      </c>
      <c r="H11" s="184" t="str">
        <f>IF(ISNA(MATCH(G11,$D$7:$D$12,0)),"",INDEX(B$7:$B$12,MATCH(G11,$D$7:$D$12,0)))</f>
        <v>Marcel</v>
      </c>
      <c r="I11" s="216">
        <v>2.5</v>
      </c>
      <c r="J11" s="232">
        <v>1</v>
      </c>
      <c r="L11" s="44"/>
      <c r="M11" s="135" t="s">
        <v>7</v>
      </c>
      <c r="N11" s="167"/>
      <c r="O11" s="330"/>
      <c r="Q11" s="161"/>
      <c r="R11" s="209">
        <v>5</v>
      </c>
      <c r="S11" s="308" t="str">
        <f t="shared" si="0"/>
        <v>Guy</v>
      </c>
      <c r="T11" s="332">
        <f t="shared" si="1"/>
        <v>2</v>
      </c>
      <c r="U11" s="210" t="str">
        <f t="shared" si="3"/>
        <v/>
      </c>
      <c r="V11" s="157" t="e">
        <f>IF(ISNA(VLOOKUP(S11,#REF!,3,0)),"",VLOOKUP(S11,#REF!,2,0))</f>
        <v>#REF!</v>
      </c>
      <c r="W11" s="331" t="e">
        <f t="shared" si="2"/>
        <v>#REF!</v>
      </c>
      <c r="X11" s="299" t="e">
        <f t="shared" si="4"/>
        <v>#REF!</v>
      </c>
      <c r="Y11" s="324" t="e">
        <f>IF(#REF!="","",IF(AND(#REF!=#REF!),Y10,Y10+1))</f>
        <v>#REF!</v>
      </c>
      <c r="Z11" s="326" t="e">
        <f>IF(OR(S10="",W10=""),"",INDEX($S$6:$S$11,MATCH(#REF!,$X$6:$X$11,0)))</f>
        <v>#REF!</v>
      </c>
      <c r="AA11" s="161"/>
    </row>
    <row r="12" spans="1:27" ht="19.5" thickBot="1">
      <c r="A12" s="110">
        <v>6</v>
      </c>
      <c r="B12" s="264" t="s">
        <v>105</v>
      </c>
      <c r="C12" s="206"/>
      <c r="D12" s="159">
        <v>6</v>
      </c>
      <c r="E12" s="44"/>
      <c r="F12" s="224">
        <v>3</v>
      </c>
      <c r="G12" s="198">
        <v>6</v>
      </c>
      <c r="H12" s="215" t="s">
        <v>105</v>
      </c>
      <c r="I12" s="217">
        <v>0</v>
      </c>
      <c r="J12" s="233"/>
      <c r="L12" s="103" t="s">
        <v>2</v>
      </c>
      <c r="M12" s="104">
        <f>IF(I7=I8,"Perdant du 1",IF(I7&lt;I8,G7,G8))</f>
        <v>2</v>
      </c>
      <c r="N12" s="125">
        <f>IF(O12=O13,0,IF(O12&lt;O13,0,1))</f>
        <v>0</v>
      </c>
      <c r="O12" s="105">
        <v>1</v>
      </c>
      <c r="Q12" s="161"/>
      <c r="R12" s="212">
        <v>6</v>
      </c>
      <c r="S12" s="334" t="str">
        <f t="shared" si="0"/>
        <v>Marcel</v>
      </c>
      <c r="T12" s="333">
        <f t="shared" si="1"/>
        <v>2.5</v>
      </c>
      <c r="U12" s="236" t="str">
        <f t="shared" si="3"/>
        <v/>
      </c>
      <c r="V12" s="158" t="e">
        <f>IF(ISNA(VLOOKUP(S12,#REF!,3,0)),"",VLOOKUP(S12,#REF!,2,0))</f>
        <v>#REF!</v>
      </c>
      <c r="W12" s="335" t="e">
        <f t="shared" si="2"/>
        <v>#REF!</v>
      </c>
      <c r="X12" s="336" t="e">
        <f t="shared" si="4"/>
        <v>#REF!</v>
      </c>
      <c r="Y12" s="325" t="e">
        <f>IF(#REF!="","",IF(AND(#REF!=#REF!),Y11,Y11+1))</f>
        <v>#REF!</v>
      </c>
      <c r="Z12" s="321" t="e">
        <f>IF(OR(S11="",W11=""),"",INDEX($S$6:$S$11,MATCH(#REF!,$X$6:$X$11,0)))</f>
        <v>#REF!</v>
      </c>
      <c r="AA12" s="161"/>
    </row>
    <row r="13" spans="1:27" ht="19.5" thickBot="1">
      <c r="A13" s="162"/>
      <c r="B13" s="162"/>
      <c r="C13" s="162"/>
      <c r="D13" s="162"/>
      <c r="E13" s="338"/>
      <c r="F13" s="338"/>
      <c r="G13" s="338"/>
      <c r="H13" s="144" t="s">
        <v>148</v>
      </c>
      <c r="I13" s="338"/>
      <c r="L13" s="106">
        <v>4</v>
      </c>
      <c r="M13" s="179">
        <f>IF(I9=I10,"Perdant du 2",IF(I9&lt;I10,G9,G10))</f>
        <v>4</v>
      </c>
      <c r="N13" s="227">
        <f>IF(O12=O13,0,IF(O12&gt;O13,0,1))</f>
        <v>1</v>
      </c>
      <c r="O13" s="107">
        <v>3</v>
      </c>
      <c r="AA13" s="161"/>
    </row>
    <row r="14" spans="1:27">
      <c r="A14" s="162"/>
      <c r="B14" s="162"/>
      <c r="C14" s="162"/>
      <c r="D14" s="162"/>
      <c r="E14" s="338"/>
      <c r="F14" s="338"/>
      <c r="G14" s="338"/>
      <c r="H14" s="338"/>
      <c r="I14" s="338"/>
      <c r="L14" s="45"/>
      <c r="M14" s="45"/>
      <c r="N14" s="45"/>
      <c r="O14" s="45"/>
    </row>
    <row r="15" spans="1:27" ht="18.75">
      <c r="A15" s="162"/>
      <c r="B15" s="162"/>
      <c r="C15" s="162"/>
      <c r="D15" s="162"/>
      <c r="E15" s="162"/>
      <c r="F15" s="44"/>
      <c r="G15" s="162"/>
      <c r="H15" s="162"/>
      <c r="I15" s="162"/>
      <c r="L15" s="45"/>
      <c r="M15" s="45"/>
      <c r="N15" s="45"/>
      <c r="O15" s="45"/>
    </row>
    <row r="16" spans="1:27" ht="18.75">
      <c r="A16" s="162"/>
      <c r="B16" s="763" t="s">
        <v>137</v>
      </c>
      <c r="C16" s="764"/>
      <c r="D16" s="44"/>
      <c r="E16" s="44" t="s">
        <v>45</v>
      </c>
      <c r="F16" s="44"/>
      <c r="G16" s="162"/>
      <c r="H16" s="162"/>
      <c r="I16" s="162"/>
      <c r="L16" s="45"/>
      <c r="M16" s="45"/>
      <c r="N16" s="45"/>
      <c r="O16" s="45"/>
      <c r="X16" s="5" t="s">
        <v>222</v>
      </c>
      <c r="Z16" s="5" t="s">
        <v>225</v>
      </c>
    </row>
    <row r="17" spans="1:26" ht="19.5" thickBot="1">
      <c r="A17" s="342"/>
      <c r="B17" s="343"/>
      <c r="C17" s="343"/>
      <c r="D17" s="330"/>
      <c r="E17" s="330"/>
      <c r="Z17" s="5"/>
    </row>
    <row r="18" spans="1:26" ht="15.75" thickBot="1">
      <c r="L18" s="5" t="s">
        <v>210</v>
      </c>
      <c r="M18" s="5" t="s">
        <v>211</v>
      </c>
      <c r="N18" s="5" t="s">
        <v>212</v>
      </c>
      <c r="O18" s="5" t="s">
        <v>213</v>
      </c>
    </row>
    <row r="19" spans="1:26" ht="19.5" thickBot="1">
      <c r="A19"/>
      <c r="B19"/>
      <c r="C19"/>
      <c r="D19"/>
      <c r="E19"/>
      <c r="Z19" s="341"/>
    </row>
    <row r="20" spans="1:26" ht="19.5" thickBot="1">
      <c r="A20"/>
      <c r="B20"/>
      <c r="C20"/>
      <c r="D20"/>
      <c r="E20"/>
      <c r="L20" s="46"/>
      <c r="M20" s="46" t="s">
        <v>8</v>
      </c>
      <c r="N20" s="45"/>
      <c r="O20" s="189"/>
      <c r="Z20" s="161"/>
    </row>
    <row r="21" spans="1:26" ht="19.5" thickBot="1">
      <c r="A21"/>
      <c r="B21"/>
      <c r="C21"/>
      <c r="D21"/>
      <c r="E21"/>
      <c r="L21" s="46"/>
      <c r="M21" s="46"/>
      <c r="N21" s="46"/>
      <c r="O21" s="44"/>
      <c r="X21" s="328" t="s">
        <v>110</v>
      </c>
      <c r="Z21" s="141" t="s">
        <v>192</v>
      </c>
    </row>
    <row r="22" spans="1:26" ht="18.75">
      <c r="A22"/>
      <c r="B22"/>
      <c r="C22"/>
      <c r="D22"/>
      <c r="E22"/>
      <c r="L22" s="46"/>
      <c r="M22" s="46"/>
      <c r="N22" s="46"/>
      <c r="O22" s="44"/>
      <c r="X22" s="322" t="str">
        <f>IF(R22="","",SMALL(W$6:W$11,ROWS(Z$7:Z23)))</f>
        <v/>
      </c>
      <c r="Z22" s="320" t="str">
        <f>IF(R21="","",INDEX($W$6:$W$11,MATCH(#REF!,$X$6:$X$11,0)))</f>
        <v/>
      </c>
    </row>
    <row r="23" spans="1:26" ht="19.5" thickBot="1">
      <c r="A23"/>
      <c r="B23"/>
      <c r="C23"/>
      <c r="D23"/>
      <c r="E23"/>
      <c r="L23" s="44"/>
      <c r="M23" s="44" t="s">
        <v>49</v>
      </c>
      <c r="N23" s="44" t="s">
        <v>108</v>
      </c>
      <c r="O23" s="44" t="s">
        <v>107</v>
      </c>
      <c r="X23" s="315" t="str">
        <f>IF(R23="","",SMALL(W$6:W$11,ROWS(Z$7:Z24)))</f>
        <v/>
      </c>
      <c r="Z23" s="317" t="str">
        <f>IF(R22="","",INDEX($W$6:$W$11,MATCH(#REF!,$X$6:$X$11,0)))</f>
        <v/>
      </c>
    </row>
    <row r="24" spans="1:26" ht="18.75">
      <c r="A24"/>
      <c r="B24"/>
      <c r="C24"/>
      <c r="D24"/>
      <c r="E24"/>
      <c r="L24" s="92" t="s">
        <v>2</v>
      </c>
      <c r="M24" s="93" t="str">
        <f>IF(J19=J20,"Gagnant du 2",IF(J19&gt;J20,H19,H20))</f>
        <v>Gagnant du 2</v>
      </c>
      <c r="N24" s="211">
        <f>IF(O24=O25,0,IF(O24&gt;O25,4,2))</f>
        <v>4</v>
      </c>
      <c r="O24" s="91">
        <v>5</v>
      </c>
      <c r="X24" s="315" t="str">
        <f>IF(R24="","",SMALL(W$6:W$11,ROWS(Z$7:Z25)))</f>
        <v/>
      </c>
      <c r="Z24" s="317" t="str">
        <f>IF(R23="","",INDEX($W$6:$W$11,MATCH(#REF!,$X$6:$X$11,0)))</f>
        <v/>
      </c>
    </row>
    <row r="25" spans="1:26" ht="19.5" thickBot="1">
      <c r="A25"/>
      <c r="B25"/>
      <c r="C25"/>
      <c r="D25"/>
      <c r="E25"/>
      <c r="L25" s="99">
        <v>3</v>
      </c>
      <c r="M25" s="100" t="str">
        <f>IF(J21=J22,"Gagnant du 5",IF(J21&gt;J22,H21,H22))</f>
        <v>Gagnant du 5</v>
      </c>
      <c r="N25" s="237">
        <f>IF(O24=O25,0,IF(O24&lt;O25,4,2))</f>
        <v>2</v>
      </c>
      <c r="O25" s="98">
        <v>2</v>
      </c>
      <c r="X25" s="315" t="str">
        <f>IF(R25="","",SMALL(W$6:W$11,ROWS(Z$7:Z26)))</f>
        <v/>
      </c>
      <c r="Z25" s="317" t="str">
        <f>IF(R24="","",INDEX($W$6:$W$11,MATCH(#REF!,$X$6:$X$11,0)))</f>
        <v/>
      </c>
    </row>
    <row r="26" spans="1:26" ht="18.75">
      <c r="A26"/>
      <c r="B26"/>
      <c r="C26"/>
      <c r="D26"/>
      <c r="E26"/>
      <c r="X26" s="315" t="str">
        <f>IF(R26="","",SMALL(W$6:W$11,ROWS(Z$7:Z27)))</f>
        <v/>
      </c>
      <c r="Z26" s="317" t="str">
        <f>IF(R25="","",INDEX($W$6:$W$11,MATCH(#REF!,$X$6:$X$11,0)))</f>
        <v/>
      </c>
    </row>
    <row r="27" spans="1:26" ht="19.5" thickBot="1">
      <c r="A27"/>
      <c r="B27"/>
      <c r="C27"/>
      <c r="D27"/>
      <c r="E27"/>
      <c r="X27" s="337" t="str">
        <f>IF(R27="","",SMALL(W$6:W$11,ROWS(Z$7:Z28)))</f>
        <v/>
      </c>
      <c r="Z27" s="321" t="str">
        <f>IF(R26="","",INDEX($W$6:$W$11,MATCH(#REF!,$X$6:$X$11,0)))</f>
        <v/>
      </c>
    </row>
  </sheetData>
  <mergeCells count="4">
    <mergeCell ref="B3:C3"/>
    <mergeCell ref="B16:C16"/>
    <mergeCell ref="F3:G3"/>
    <mergeCell ref="L3:M3"/>
  </mergeCells>
  <conditionalFormatting sqref="Y8:Y12">
    <cfRule type="duplicateValues" dxfId="22" priority="1"/>
  </conditionalFormatting>
  <conditionalFormatting sqref="Y7">
    <cfRule type="duplicateValues" dxfId="21" priority="2"/>
  </conditionalFormatting>
  <pageMargins left="0.11811023622047245" right="0.19685039370078741" top="0.51181102362204722" bottom="0.55118110236220474" header="0.11811023622047245" footer="0.31496062992125984"/>
  <pageSetup paperSize="9" orientation="landscape" horizontalDpi="4294967293" r:id="rId1"/>
  <headerFooter>
    <oddHeader>&amp;C&amp;"Times New Roman,Normal"&amp;14&amp;F</oddHeader>
    <oddFooter>&amp;R&amp;P</oddFooter>
  </headerFooter>
  <colBreaks count="1" manualBreakCount="1">
    <brk id="5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A14"/>
  <sheetViews>
    <sheetView workbookViewId="0">
      <selection activeCell="H22" sqref="H22"/>
    </sheetView>
  </sheetViews>
  <sheetFormatPr baseColWidth="10" defaultRowHeight="20.25"/>
  <cols>
    <col min="1" max="16384" width="11.42578125" style="73"/>
  </cols>
  <sheetData>
    <row r="2" spans="1:1">
      <c r="A2" s="73" t="s">
        <v>182</v>
      </c>
    </row>
    <row r="5" spans="1:1">
      <c r="A5" s="73" t="s">
        <v>233</v>
      </c>
    </row>
    <row r="6" spans="1:1">
      <c r="A6" s="73" t="s">
        <v>236</v>
      </c>
    </row>
    <row r="7" spans="1:1">
      <c r="A7" s="73" t="s">
        <v>234</v>
      </c>
    </row>
    <row r="8" spans="1:1">
      <c r="A8" s="73" t="s">
        <v>183</v>
      </c>
    </row>
    <row r="10" spans="1:1">
      <c r="A10" s="73" t="s">
        <v>178</v>
      </c>
    </row>
    <row r="11" spans="1:1">
      <c r="A11" s="73" t="s">
        <v>179</v>
      </c>
    </row>
    <row r="12" spans="1:1">
      <c r="A12" s="73" t="s">
        <v>180</v>
      </c>
    </row>
    <row r="13" spans="1:1">
      <c r="A13" s="73" t="s">
        <v>181</v>
      </c>
    </row>
    <row r="14" spans="1:1">
      <c r="A14" s="73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AN28"/>
  <sheetViews>
    <sheetView zoomScale="60" zoomScaleNormal="60" workbookViewId="0">
      <selection activeCell="L30" sqref="L30"/>
    </sheetView>
  </sheetViews>
  <sheetFormatPr baseColWidth="10" defaultRowHeight="15"/>
  <cols>
    <col min="1" max="1" width="5.7109375" style="45" customWidth="1"/>
    <col min="2" max="2" width="28.5703125" style="45" customWidth="1"/>
    <col min="3" max="3" width="25" style="45" customWidth="1"/>
    <col min="4" max="4" width="9.42578125" style="45" customWidth="1"/>
    <col min="5" max="5" width="3.28515625" style="45" customWidth="1"/>
    <col min="6" max="6" width="9.140625" style="45" customWidth="1"/>
    <col min="7" max="7" width="7.28515625" style="45" hidden="1" customWidth="1"/>
    <col min="8" max="8" width="26.85546875" style="45" customWidth="1"/>
    <col min="9" max="9" width="7.140625" style="45" hidden="1" customWidth="1"/>
    <col min="10" max="10" width="7" style="45" customWidth="1"/>
    <col min="11" max="11" width="6" style="45" customWidth="1"/>
    <col min="12" max="12" width="9.42578125" style="45" customWidth="1"/>
    <col min="13" max="13" width="31.5703125" style="45" customWidth="1"/>
    <col min="14" max="14" width="8.28515625" style="45" hidden="1" customWidth="1"/>
    <col min="15" max="15" width="8.140625" style="45" customWidth="1"/>
    <col min="16" max="16" width="6.42578125" style="45" customWidth="1"/>
    <col min="17" max="17" width="7.85546875" style="45" customWidth="1"/>
    <col min="18" max="18" width="29.5703125" style="45" customWidth="1"/>
    <col min="19" max="19" width="7.42578125" style="45" hidden="1" customWidth="1"/>
    <col min="20" max="20" width="9.28515625" style="45" customWidth="1"/>
    <col min="21" max="21" width="6.42578125" style="45" customWidth="1"/>
    <col min="22" max="22" width="6.85546875" style="45" hidden="1" customWidth="1"/>
    <col min="23" max="23" width="23.85546875" style="45" hidden="1" customWidth="1"/>
    <col min="24" max="26" width="8.42578125" style="45" hidden="1" customWidth="1"/>
    <col min="27" max="27" width="11.140625" style="45" hidden="1" customWidth="1"/>
    <col min="28" max="28" width="10.85546875" style="45" hidden="1" customWidth="1"/>
    <col min="29" max="29" width="13.42578125" style="45" hidden="1" customWidth="1"/>
    <col min="30" max="30" width="12.85546875" style="45" customWidth="1"/>
    <col min="31" max="31" width="26.5703125" style="45" customWidth="1"/>
    <col min="32" max="32" width="14.42578125" style="45" customWidth="1"/>
    <col min="33" max="33" width="7.28515625" style="45" customWidth="1"/>
    <col min="34" max="34" width="23.28515625" style="45" customWidth="1"/>
    <col min="35" max="35" width="11.5703125" style="45" customWidth="1"/>
    <col min="36" max="36" width="33.42578125" style="45" customWidth="1"/>
    <col min="37" max="37" width="16.85546875" style="45" customWidth="1"/>
    <col min="38" max="38" width="8.85546875" style="45" customWidth="1"/>
    <col min="39" max="39" width="11.7109375" style="45" customWidth="1"/>
    <col min="40" max="40" width="9.7109375" style="45" customWidth="1"/>
    <col min="41" max="16384" width="11.42578125" style="45"/>
  </cols>
  <sheetData>
    <row r="1" spans="1:40" s="414" customFormat="1" ht="39.75" customHeight="1" thickBot="1">
      <c r="A1" s="411"/>
      <c r="B1" s="411"/>
      <c r="C1" s="411"/>
      <c r="D1" s="412" t="s">
        <v>0</v>
      </c>
      <c r="E1" s="411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3"/>
      <c r="Q1" s="412"/>
      <c r="R1" s="412" t="s">
        <v>231</v>
      </c>
      <c r="T1" s="412"/>
      <c r="U1" s="412"/>
      <c r="V1" s="412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5"/>
      <c r="AK1" s="415"/>
      <c r="AL1" s="415"/>
      <c r="AM1" s="415"/>
      <c r="AN1" s="415"/>
    </row>
    <row r="2" spans="1:40" ht="30" customHeight="1" thickBot="1">
      <c r="A2" s="44"/>
      <c r="B2" s="357" t="s">
        <v>50</v>
      </c>
      <c r="C2" s="406"/>
      <c r="D2" s="44"/>
      <c r="E2" s="768" t="s">
        <v>44</v>
      </c>
      <c r="F2" s="768"/>
      <c r="G2" s="43"/>
      <c r="H2" s="43"/>
      <c r="I2" s="43"/>
      <c r="J2" s="43"/>
      <c r="K2" s="43"/>
      <c r="L2" s="43" t="s">
        <v>22</v>
      </c>
      <c r="M2" s="43"/>
      <c r="N2" s="44"/>
      <c r="O2" s="44"/>
      <c r="P2" s="113"/>
      <c r="Q2" s="44"/>
      <c r="R2" s="44"/>
      <c r="S2" s="44"/>
      <c r="T2" s="44"/>
      <c r="U2" s="44"/>
      <c r="V2" s="44"/>
      <c r="W2" s="113"/>
      <c r="X2" s="113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61"/>
      <c r="AK2" s="161"/>
      <c r="AL2" s="161"/>
      <c r="AM2" s="161"/>
      <c r="AN2" s="161"/>
    </row>
    <row r="3" spans="1:40" ht="30" customHeight="1">
      <c r="A3" s="44"/>
      <c r="B3" s="44"/>
      <c r="C3" s="44"/>
      <c r="D3" s="44"/>
      <c r="E3" s="44"/>
      <c r="F3" s="44"/>
      <c r="G3" s="44"/>
      <c r="H3" s="46" t="s">
        <v>3</v>
      </c>
      <c r="I3" s="189"/>
      <c r="J3" s="46"/>
      <c r="K3" s="46"/>
      <c r="L3" s="46"/>
      <c r="M3" s="46" t="s">
        <v>5</v>
      </c>
      <c r="N3" s="46"/>
      <c r="O3" s="44"/>
      <c r="P3" s="44"/>
      <c r="Q3" s="44"/>
      <c r="R3" s="46" t="s">
        <v>230</v>
      </c>
      <c r="X3" s="140"/>
      <c r="Y3" s="140"/>
      <c r="Z3" s="140"/>
      <c r="AA3" s="140"/>
      <c r="AB3" s="140"/>
      <c r="AC3" s="140"/>
      <c r="AG3" s="140"/>
      <c r="AH3" s="140"/>
      <c r="AI3" s="161"/>
      <c r="AJ3" s="161"/>
      <c r="AK3" s="161"/>
      <c r="AL3" s="161"/>
      <c r="AM3" s="161"/>
    </row>
    <row r="4" spans="1:40" ht="30" customHeight="1" thickBot="1">
      <c r="A4" s="44"/>
      <c r="B4" s="44"/>
      <c r="C4" s="44"/>
      <c r="D4" s="44"/>
      <c r="E4" s="44"/>
      <c r="F4" s="44"/>
      <c r="G4" s="44"/>
      <c r="H4" s="46"/>
      <c r="I4" s="46"/>
      <c r="J4" s="46"/>
      <c r="K4" s="44"/>
      <c r="L4" s="46"/>
      <c r="M4" s="46"/>
      <c r="N4" s="140"/>
      <c r="O4" s="46"/>
      <c r="P4" s="44"/>
      <c r="Q4" s="46"/>
      <c r="R4" s="46"/>
      <c r="S4" s="46"/>
      <c r="T4" s="44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61"/>
      <c r="AF4" s="161"/>
      <c r="AG4" s="161"/>
      <c r="AH4" s="161"/>
      <c r="AI4" s="161"/>
      <c r="AJ4" s="161"/>
      <c r="AK4" s="161"/>
    </row>
    <row r="5" spans="1:40" ht="30" customHeight="1" thickBot="1">
      <c r="A5" s="44"/>
      <c r="B5" s="44"/>
      <c r="C5" s="44"/>
      <c r="D5" s="44"/>
      <c r="E5" s="44"/>
      <c r="F5" s="44"/>
      <c r="G5" s="44"/>
      <c r="H5" s="46"/>
      <c r="I5" s="46"/>
      <c r="J5" s="46"/>
      <c r="K5" s="44"/>
      <c r="L5" s="44"/>
      <c r="M5" s="44" t="s">
        <v>6</v>
      </c>
      <c r="N5" s="113" t="s">
        <v>108</v>
      </c>
      <c r="O5" s="44" t="s">
        <v>107</v>
      </c>
      <c r="P5" s="44"/>
      <c r="Q5" s="46"/>
      <c r="R5" s="46"/>
      <c r="S5" s="46"/>
      <c r="T5" s="44"/>
      <c r="U5" s="113"/>
      <c r="V5"/>
      <c r="W5"/>
      <c r="X5"/>
      <c r="Y5"/>
      <c r="Z5"/>
      <c r="AA5"/>
      <c r="AB5"/>
      <c r="AC5"/>
      <c r="AD5"/>
      <c r="AE5" s="766" t="s">
        <v>129</v>
      </c>
      <c r="AF5" s="767"/>
      <c r="AG5" s="161"/>
      <c r="AH5" s="161"/>
      <c r="AI5" s="769" t="s">
        <v>113</v>
      </c>
      <c r="AJ5" s="770"/>
      <c r="AK5" s="771"/>
    </row>
    <row r="6" spans="1:40" ht="30" customHeight="1" thickBot="1">
      <c r="A6" s="190"/>
      <c r="B6" s="294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4" t="s">
        <v>108</v>
      </c>
      <c r="J6" s="44" t="s">
        <v>107</v>
      </c>
      <c r="K6" s="44"/>
      <c r="L6" s="570" t="s">
        <v>2</v>
      </c>
      <c r="M6" s="519" t="str">
        <f>IF(J7=J8,"Gagnant du 1",IF(J7&gt;J8,H7,H8))</f>
        <v>Gagnant du 1</v>
      </c>
      <c r="N6" s="441">
        <f>IF(O6=O7,0,IF(O6&lt;O7,0,2))</f>
        <v>0</v>
      </c>
      <c r="O6" s="576"/>
      <c r="P6" s="44"/>
      <c r="Q6" s="46"/>
      <c r="R6" s="46"/>
      <c r="S6" s="46"/>
      <c r="T6" s="44"/>
      <c r="U6" s="113"/>
      <c r="V6" s="113"/>
      <c r="W6" s="292" t="s">
        <v>111</v>
      </c>
      <c r="X6" s="304" t="s">
        <v>189</v>
      </c>
      <c r="Y6" s="304" t="s">
        <v>190</v>
      </c>
      <c r="Z6" s="303" t="s">
        <v>191</v>
      </c>
      <c r="AA6" s="141" t="s">
        <v>193</v>
      </c>
      <c r="AB6" s="293" t="s">
        <v>109</v>
      </c>
      <c r="AC6" s="293" t="s">
        <v>110</v>
      </c>
      <c r="AD6" s="433" t="s">
        <v>238</v>
      </c>
      <c r="AE6" s="366" t="s">
        <v>111</v>
      </c>
      <c r="AF6" s="366" t="s">
        <v>192</v>
      </c>
      <c r="AG6" s="161"/>
      <c r="AH6" s="238" t="s">
        <v>12</v>
      </c>
      <c r="AI6" s="239" t="s">
        <v>56</v>
      </c>
      <c r="AJ6" s="239" t="s">
        <v>241</v>
      </c>
      <c r="AK6" s="239" t="s">
        <v>16</v>
      </c>
    </row>
    <row r="7" spans="1:40" ht="30" customHeight="1" thickBot="1">
      <c r="A7" s="87">
        <v>1</v>
      </c>
      <c r="B7" s="555"/>
      <c r="C7" s="556"/>
      <c r="D7" s="89"/>
      <c r="E7" s="44"/>
      <c r="F7" s="573" t="s">
        <v>2</v>
      </c>
      <c r="G7" s="475">
        <v>1</v>
      </c>
      <c r="H7" s="182" t="str">
        <f>IF(ISNA(MATCH(G7,$D$7:$D$12,0)),"",INDEX(B$7:$B$12,MATCH(G7,$D$7:$D$12,0)))</f>
        <v/>
      </c>
      <c r="I7" s="126">
        <f>IF(J7=J8,0,IF(J7&lt;J8,2,4))</f>
        <v>0</v>
      </c>
      <c r="J7" s="576"/>
      <c r="K7" s="47"/>
      <c r="L7" s="571">
        <v>2</v>
      </c>
      <c r="M7" s="531" t="str">
        <f>IF(J11=J12,"Gagnant du 3",IF(J11&gt;J12,H11,H12))</f>
        <v/>
      </c>
      <c r="N7" s="130">
        <f>IF(O6=O7,0,IF(O6&gt;O7,0,2))</f>
        <v>0</v>
      </c>
      <c r="O7" s="577"/>
      <c r="P7" s="47"/>
      <c r="Q7" s="44"/>
      <c r="R7" s="44" t="s">
        <v>49</v>
      </c>
      <c r="S7" s="44" t="s">
        <v>108</v>
      </c>
      <c r="T7" s="44" t="s">
        <v>107</v>
      </c>
      <c r="U7" s="61"/>
      <c r="V7" s="208">
        <v>1</v>
      </c>
      <c r="W7" s="318">
        <f>+B7</f>
        <v>0</v>
      </c>
      <c r="X7" s="307" t="str">
        <f>IF(ISNA(VLOOKUP(W7,$H$7:$I$12,2,0)),"",VLOOKUP(W7,$H$7:$I$12,2,0))</f>
        <v/>
      </c>
      <c r="Y7" s="211" t="str">
        <f>IF(ISNA(VLOOKUP(W7,$M$6:$N$13,2,0)),"",VLOOKUP(W7,$M$6:$N$13,2,0))</f>
        <v/>
      </c>
      <c r="Z7" s="269" t="str">
        <f>IF(ISNA(VLOOKUP(W7,$R$8:$S$9,3,0)),"",VLOOKUP(W7,$R$8:$S$9,2,0))</f>
        <v/>
      </c>
      <c r="AA7" s="390">
        <f t="shared" ref="AA7:AA12" si="0">SUM(X7:Z7)</f>
        <v>0</v>
      </c>
      <c r="AB7" s="319">
        <f>IF(OR(W7="",AA7=""),"",RANK(AA7,$AA$7:$AA$12)+COUNTIF(W$7:W$12,"&lt;="&amp;W7+1)/10000+ROW()/100000)</f>
        <v>1.00057</v>
      </c>
      <c r="AC7" s="322">
        <f>IF(W7="","",SMALL(AB$7:AB$12,ROWS(AF7:AF$7)))</f>
        <v>1.0001199999999999</v>
      </c>
      <c r="AD7" s="750">
        <f>IF(AC7="","",1)</f>
        <v>1</v>
      </c>
      <c r="AE7" s="562" t="str">
        <f>IF(OR(W7="",AA7=""),"",INDEX($W$7:$W$12,MATCH(AC7,$AB$7:$AB$12,0)))</f>
        <v>OFFICE</v>
      </c>
      <c r="AF7" s="562">
        <f>IF(W7="","",INDEX($AA$7:$AA$12,MATCH(AC7,$AB$7:$AB$12,0)))</f>
        <v>0</v>
      </c>
      <c r="AG7" s="161"/>
      <c r="AH7" s="570" t="s">
        <v>115</v>
      </c>
      <c r="AI7" s="241">
        <v>2</v>
      </c>
      <c r="AJ7" s="241" t="s">
        <v>310</v>
      </c>
      <c r="AK7" s="727" t="s">
        <v>311</v>
      </c>
    </row>
    <row r="8" spans="1:40" ht="30" customHeight="1" thickBot="1">
      <c r="A8" s="94">
        <v>2</v>
      </c>
      <c r="B8" s="557"/>
      <c r="C8" s="558"/>
      <c r="D8" s="96"/>
      <c r="E8" s="44"/>
      <c r="F8" s="574">
        <v>1</v>
      </c>
      <c r="G8" s="476">
        <v>2</v>
      </c>
      <c r="H8" s="183" t="str">
        <f>IF(ISNA(MATCH(G8,$D$7:$D$12,0)),"",INDEX(B$7:$B$12,MATCH(G8,$D$7:$D$12,0)))</f>
        <v/>
      </c>
      <c r="I8" s="130">
        <f>IF(J7=J8,0,IF(J7&gt;J8,2,4))</f>
        <v>0</v>
      </c>
      <c r="J8" s="577"/>
      <c r="K8" s="44"/>
      <c r="L8" s="570" t="s">
        <v>2</v>
      </c>
      <c r="M8" s="519" t="str">
        <f>IF(J9=J10,"Gagnant du 2",IF(J9&gt;J10,H9,H10))</f>
        <v>Gagnant du 2</v>
      </c>
      <c r="N8" s="216">
        <v>1</v>
      </c>
      <c r="O8" s="121">
        <v>1</v>
      </c>
      <c r="P8" s="44"/>
      <c r="Q8" s="570" t="s">
        <v>2</v>
      </c>
      <c r="R8" s="528" t="str">
        <f>IF(O6=O7,"Gagnant du 2",IF(O6&gt;O7,M6,M7))</f>
        <v>Gagnant du 2</v>
      </c>
      <c r="S8" s="441">
        <f>IF(T8=T9,0,IF(T8&lt;T9,0,2))</f>
        <v>0</v>
      </c>
      <c r="T8" s="576"/>
      <c r="U8" s="61"/>
      <c r="V8" s="209">
        <v>2</v>
      </c>
      <c r="W8" s="308">
        <f>+B8</f>
        <v>0</v>
      </c>
      <c r="X8" s="332" t="str">
        <f t="shared" ref="X8:X12" si="1">IF(ISNA(VLOOKUP(W8,$H$7:$H$12,2,0)),"",VLOOKUP(W8,$H$7:$I$12,2,0))</f>
        <v/>
      </c>
      <c r="Y8" s="210" t="str">
        <f t="shared" ref="Y8:Y12" si="2">IF(ISNA(VLOOKUP(W8,$M$6:$N$13,2,0)),"",VLOOKUP(W8,$M$6:$N$13,2,0))</f>
        <v/>
      </c>
      <c r="Z8" s="157" t="str">
        <f t="shared" ref="Z8:Z12" si="3">IF(ISNA(VLOOKUP(W8,$R$8:$S$9,3,0)),"",VLOOKUP(W8,$R$8:$S$9,2,0))</f>
        <v/>
      </c>
      <c r="AA8" s="390">
        <f t="shared" si="0"/>
        <v>0</v>
      </c>
      <c r="AB8" s="299">
        <f t="shared" ref="AB8:AB12" si="4">IF(OR(W8="",AA8=""),"",RANK(AA8,$AA$7:$AA$12)+COUNTIF(W$7:W$12,"&lt;="&amp;W8+1)/10000+ROW()/100000)</f>
        <v>1.00058</v>
      </c>
      <c r="AC8" s="315">
        <f>IF(W8="","",SMALL(AB$7:AB$12,ROWS(AF$7:AF8)))</f>
        <v>1.00057</v>
      </c>
      <c r="AD8" s="751">
        <f>IF(AC8="","",IF(AND(AF7=AF8),AD7,$AD$7+1))</f>
        <v>1</v>
      </c>
      <c r="AE8" s="453">
        <f t="shared" ref="AE8:AE12" si="5">IF(OR(W8="",AA8=""),"",INDEX($W$7:$W$12,MATCH(AC8,$AB$7:$AB$12,0)))</f>
        <v>0</v>
      </c>
      <c r="AF8" s="453">
        <f t="shared" ref="AF8:AF12" si="6">IF(W8="","",INDEX($AA$7:$AA$12,MATCH(AC8,$AB$7:$AB$12,0)))</f>
        <v>0</v>
      </c>
      <c r="AG8" s="161"/>
      <c r="AH8" s="580" t="s">
        <v>15</v>
      </c>
      <c r="AI8" s="243">
        <v>2</v>
      </c>
      <c r="AJ8" s="243" t="s">
        <v>256</v>
      </c>
      <c r="AK8" s="729" t="s">
        <v>316</v>
      </c>
    </row>
    <row r="9" spans="1:40" ht="30" customHeight="1" thickBot="1">
      <c r="A9" s="94">
        <v>3</v>
      </c>
      <c r="B9" s="559"/>
      <c r="C9" s="560"/>
      <c r="D9" s="96"/>
      <c r="E9" s="44"/>
      <c r="F9" s="573" t="s">
        <v>2</v>
      </c>
      <c r="G9" s="475">
        <v>3</v>
      </c>
      <c r="H9" s="184" t="str">
        <f>IF(ISNA(MATCH(G9,$D$7:$D$12,0)),"",INDEX(B$7:$B$12,MATCH(G9,$D$7:$D$12,0)))</f>
        <v/>
      </c>
      <c r="I9" s="126">
        <f>IF(J9=J10,0,IF(J9&lt;J10,2,4))</f>
        <v>0</v>
      </c>
      <c r="J9" s="578"/>
      <c r="K9" s="44"/>
      <c r="L9" s="282">
        <v>5</v>
      </c>
      <c r="M9" s="118" t="s">
        <v>105</v>
      </c>
      <c r="N9" s="217">
        <v>0</v>
      </c>
      <c r="O9" s="752"/>
      <c r="P9" s="44"/>
      <c r="Q9" s="571">
        <v>3</v>
      </c>
      <c r="R9" s="520" t="str">
        <f>IF(O8=O9,"Gagnant du 5",IF(O8&gt;O9,M8,M9))</f>
        <v>Gagnant du 2</v>
      </c>
      <c r="S9" s="130">
        <f>IF(T8=T9,0,IF(T8&gt;T9,0,2))</f>
        <v>0</v>
      </c>
      <c r="T9" s="577"/>
      <c r="U9" s="197"/>
      <c r="V9" s="209">
        <v>3</v>
      </c>
      <c r="W9" s="308">
        <f t="shared" ref="W9:W12" si="7">+B9</f>
        <v>0</v>
      </c>
      <c r="X9" s="332" t="str">
        <f t="shared" si="1"/>
        <v/>
      </c>
      <c r="Y9" s="210" t="str">
        <f t="shared" si="2"/>
        <v/>
      </c>
      <c r="Z9" s="157" t="str">
        <f t="shared" si="3"/>
        <v/>
      </c>
      <c r="AA9" s="390">
        <f t="shared" si="0"/>
        <v>0</v>
      </c>
      <c r="AB9" s="299">
        <f t="shared" si="4"/>
        <v>1.0005899999999999</v>
      </c>
      <c r="AC9" s="315">
        <f>IF(W9="","",SMALL(AB$7:AB$12,ROWS(AF$7:AF9)))</f>
        <v>1.00058</v>
      </c>
      <c r="AD9" s="751">
        <f>IF(AC9="","",IF(AND(AF8=AF9),AD8,$AD$7+2))</f>
        <v>1</v>
      </c>
      <c r="AE9" s="453">
        <f t="shared" si="5"/>
        <v>0</v>
      </c>
      <c r="AF9" s="453">
        <f t="shared" si="6"/>
        <v>0</v>
      </c>
      <c r="AG9" s="161"/>
      <c r="AH9" s="571" t="s">
        <v>114</v>
      </c>
      <c r="AI9" s="247">
        <v>2</v>
      </c>
      <c r="AJ9" s="247" t="s">
        <v>271</v>
      </c>
      <c r="AK9" s="728" t="s">
        <v>317</v>
      </c>
    </row>
    <row r="10" spans="1:40" ht="30" customHeight="1" thickBot="1">
      <c r="A10" s="94">
        <v>4</v>
      </c>
      <c r="B10" s="557"/>
      <c r="C10" s="558"/>
      <c r="D10" s="96"/>
      <c r="E10" s="44"/>
      <c r="F10" s="574">
        <v>2</v>
      </c>
      <c r="G10" s="476">
        <v>4</v>
      </c>
      <c r="H10" s="185" t="str">
        <f>IF(ISNA(MATCH(G10,$D$7:$D$12,0)),"",INDEX(B$7:$B$12,MATCH(G10,$D$7:$D$12,0)))</f>
        <v/>
      </c>
      <c r="I10" s="130">
        <f>IF(J9=J10,0,IF(J9&gt;J10,2,4))</f>
        <v>0</v>
      </c>
      <c r="J10" s="579"/>
      <c r="K10" s="47"/>
      <c r="L10" s="161"/>
      <c r="M10" s="655"/>
      <c r="N10" s="192"/>
      <c r="O10" s="161"/>
      <c r="P10" s="47"/>
      <c r="Q10" s="161"/>
      <c r="R10" s="161"/>
      <c r="S10" s="161"/>
      <c r="T10" s="161"/>
      <c r="U10" s="197"/>
      <c r="V10" s="209">
        <v>4</v>
      </c>
      <c r="W10" s="308">
        <f t="shared" si="7"/>
        <v>0</v>
      </c>
      <c r="X10" s="332" t="str">
        <f t="shared" si="1"/>
        <v/>
      </c>
      <c r="Y10" s="210" t="str">
        <f t="shared" si="2"/>
        <v/>
      </c>
      <c r="Z10" s="157" t="str">
        <f t="shared" si="3"/>
        <v/>
      </c>
      <c r="AA10" s="390">
        <f t="shared" si="0"/>
        <v>0</v>
      </c>
      <c r="AB10" s="299">
        <f t="shared" si="4"/>
        <v>1.0005999999999999</v>
      </c>
      <c r="AC10" s="315">
        <f>IF(W10="","",SMALL(AB$7:AB$12,ROWS(AF$7:AF10)))</f>
        <v>1.0005899999999999</v>
      </c>
      <c r="AD10" s="751">
        <f t="shared" ref="AD10" si="8">IF(AC10="","",IF(AND(AF9=AF10),AD9,$AD$7+3))</f>
        <v>1</v>
      </c>
      <c r="AE10" s="453">
        <f t="shared" si="5"/>
        <v>0</v>
      </c>
      <c r="AF10" s="453">
        <f t="shared" si="6"/>
        <v>0</v>
      </c>
      <c r="AG10" s="161"/>
      <c r="AH10" s="639" t="s">
        <v>117</v>
      </c>
      <c r="AI10" s="245">
        <v>2</v>
      </c>
      <c r="AJ10" s="245" t="s">
        <v>309</v>
      </c>
      <c r="AK10" s="730">
        <v>3</v>
      </c>
    </row>
    <row r="11" spans="1:40" ht="30" customHeight="1" thickBot="1">
      <c r="A11" s="94">
        <v>5</v>
      </c>
      <c r="B11" s="559"/>
      <c r="C11" s="560"/>
      <c r="D11" s="96"/>
      <c r="E11" s="44"/>
      <c r="F11" s="573" t="s">
        <v>2</v>
      </c>
      <c r="G11" s="475">
        <v>5</v>
      </c>
      <c r="H11" s="184" t="str">
        <f>IF(ISNA(MATCH(G11,$D$7:$D$12,0)),"",INDEX(B$7:$B$12,MATCH(G11,$D$7:$D$12,0)))</f>
        <v/>
      </c>
      <c r="I11" s="216">
        <v>3</v>
      </c>
      <c r="J11" s="121">
        <v>1</v>
      </c>
      <c r="K11" s="44"/>
      <c r="L11" s="44"/>
      <c r="M11" s="131" t="s">
        <v>7</v>
      </c>
      <c r="N11" s="167"/>
      <c r="O11" s="195"/>
      <c r="P11" s="44"/>
      <c r="Q11" s="161"/>
      <c r="R11" s="161"/>
      <c r="S11" s="161"/>
      <c r="T11" s="161"/>
      <c r="U11" s="197"/>
      <c r="V11" s="209">
        <v>5</v>
      </c>
      <c r="W11" s="308">
        <f t="shared" si="7"/>
        <v>0</v>
      </c>
      <c r="X11" s="332" t="str">
        <f t="shared" si="1"/>
        <v/>
      </c>
      <c r="Y11" s="210" t="str">
        <f t="shared" si="2"/>
        <v/>
      </c>
      <c r="Z11" s="157" t="str">
        <f t="shared" si="3"/>
        <v/>
      </c>
      <c r="AA11" s="390">
        <f t="shared" si="0"/>
        <v>0</v>
      </c>
      <c r="AB11" s="299">
        <f t="shared" si="4"/>
        <v>1.00061</v>
      </c>
      <c r="AC11" s="315">
        <f>IF(W11="","",SMALL(AB$7:AB$12,ROWS(AF$7:AF11)))</f>
        <v>1.0005999999999999</v>
      </c>
      <c r="AD11" s="751">
        <f>IF(AC11="","",IF(AND(AF10=AF11),AD10,$AD$7+4))</f>
        <v>1</v>
      </c>
      <c r="AE11" s="453">
        <f t="shared" si="5"/>
        <v>0</v>
      </c>
      <c r="AF11" s="453">
        <f t="shared" si="6"/>
        <v>0</v>
      </c>
      <c r="AG11" s="161"/>
      <c r="AH11" s="732" t="s">
        <v>18</v>
      </c>
      <c r="AI11" s="243">
        <v>2</v>
      </c>
      <c r="AJ11" s="243" t="s">
        <v>246</v>
      </c>
      <c r="AK11" s="729">
        <v>2</v>
      </c>
    </row>
    <row r="12" spans="1:40" ht="30" customHeight="1" thickBot="1">
      <c r="A12" s="110">
        <v>6</v>
      </c>
      <c r="B12" s="264" t="s">
        <v>105</v>
      </c>
      <c r="C12" s="206"/>
      <c r="D12" s="159">
        <v>6</v>
      </c>
      <c r="E12" s="44"/>
      <c r="F12" s="170">
        <v>3</v>
      </c>
      <c r="G12" s="476">
        <v>6</v>
      </c>
      <c r="H12" s="215" t="s">
        <v>105</v>
      </c>
      <c r="I12" s="217">
        <v>0</v>
      </c>
      <c r="J12" s="752"/>
      <c r="K12" s="44"/>
      <c r="L12" s="522" t="s">
        <v>2</v>
      </c>
      <c r="M12" s="528" t="str">
        <f>IF(J7=J8,"Perdant du 1",IF(J7&lt;J8,H7,H8))</f>
        <v>Perdant du 1</v>
      </c>
      <c r="N12" s="126">
        <f>IF(O12=O13,0,IF(O12&lt;O13,0,1))</f>
        <v>1</v>
      </c>
      <c r="O12" s="631">
        <v>1</v>
      </c>
      <c r="P12" s="44"/>
      <c r="Q12" s="161"/>
      <c r="R12" s="161"/>
      <c r="S12" s="161"/>
      <c r="T12" s="161"/>
      <c r="U12" s="113"/>
      <c r="V12" s="358">
        <v>6</v>
      </c>
      <c r="W12" s="422" t="str">
        <f t="shared" si="7"/>
        <v>OFFICE</v>
      </c>
      <c r="X12" s="378">
        <f t="shared" si="1"/>
        <v>0</v>
      </c>
      <c r="Y12" s="379">
        <f t="shared" si="2"/>
        <v>0</v>
      </c>
      <c r="Z12" s="423" t="str">
        <f t="shared" si="3"/>
        <v/>
      </c>
      <c r="AA12" s="424">
        <f t="shared" si="0"/>
        <v>0</v>
      </c>
      <c r="AB12" s="425">
        <f t="shared" si="4"/>
        <v>1.0001199999999999</v>
      </c>
      <c r="AC12" s="428">
        <f>IF(W12="","",SMALL(AB$7:AB$12,ROWS(AF$7:AF12)))</f>
        <v>1.00061</v>
      </c>
      <c r="AD12" s="736">
        <f>IF(AC12="","",IF(AND(AF11=AF12),AD11,$AD$7+5))</f>
        <v>1</v>
      </c>
      <c r="AE12" s="426">
        <f t="shared" si="5"/>
        <v>0</v>
      </c>
      <c r="AF12" s="426">
        <f t="shared" si="6"/>
        <v>0</v>
      </c>
      <c r="AG12" s="161"/>
      <c r="AH12" s="282"/>
      <c r="AI12" s="735"/>
      <c r="AJ12" s="735"/>
      <c r="AK12" s="735"/>
    </row>
    <row r="13" spans="1:40" ht="30" customHeight="1" thickBot="1">
      <c r="A13" s="161"/>
      <c r="B13" s="161"/>
      <c r="C13" s="161"/>
      <c r="D13" s="161"/>
      <c r="H13" s="144" t="s">
        <v>232</v>
      </c>
      <c r="K13" s="44"/>
      <c r="L13" s="524">
        <v>4</v>
      </c>
      <c r="M13" s="627" t="str">
        <f>IF(J9=J10,"Perdant du 2",IF(J9&lt;J10,H9,H10))</f>
        <v>Perdant du 2</v>
      </c>
      <c r="N13" s="442">
        <f>IF(O12=O13,0,IF(O12&gt;O13,0,1))</f>
        <v>0</v>
      </c>
      <c r="O13" s="632"/>
      <c r="P13" s="44"/>
      <c r="U13" s="61"/>
      <c r="V13" s="161"/>
      <c r="W13" s="161"/>
      <c r="X13" s="189">
        <f>SUM(X7:X12)</f>
        <v>0</v>
      </c>
      <c r="Y13" s="189">
        <f>SUM(Y7:Y12)</f>
        <v>0</v>
      </c>
      <c r="Z13" s="189">
        <f>SUM(Z7:Z12)</f>
        <v>0</v>
      </c>
      <c r="AA13" s="189">
        <f>SUM(AA7:AA12)</f>
        <v>0</v>
      </c>
      <c r="AB13" s="161"/>
      <c r="AC13" s="161"/>
      <c r="AD13" s="161"/>
      <c r="AE13" s="161"/>
      <c r="AF13" s="161"/>
      <c r="AG13" s="161"/>
    </row>
    <row r="14" spans="1:40" ht="30" customHeight="1">
      <c r="A14" s="161"/>
      <c r="B14" s="161"/>
      <c r="C14" s="161"/>
      <c r="D14" s="161"/>
      <c r="K14" s="44"/>
      <c r="P14" s="44"/>
      <c r="U14" s="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40" ht="30" customHeight="1">
      <c r="A15" s="161"/>
      <c r="B15" s="161"/>
      <c r="C15" s="161"/>
      <c r="D15" s="161"/>
      <c r="E15" s="161"/>
      <c r="F15" s="44"/>
      <c r="G15" s="161"/>
      <c r="H15" s="161"/>
      <c r="I15" s="161"/>
      <c r="J15" s="161"/>
      <c r="K15" s="161"/>
      <c r="L15" s="44"/>
      <c r="M15" s="161"/>
      <c r="N15" s="161"/>
      <c r="O15" s="161"/>
      <c r="P15" s="161"/>
      <c r="Q15" s="44"/>
      <c r="V15" s="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</row>
    <row r="16" spans="1:40" ht="30" customHeight="1" thickBot="1">
      <c r="A16" s="161"/>
      <c r="B16" s="763" t="s">
        <v>137</v>
      </c>
      <c r="C16" s="764"/>
      <c r="D16" s="44"/>
      <c r="H16" s="161"/>
      <c r="I16" s="161"/>
      <c r="J16" s="161"/>
      <c r="K16" s="161"/>
      <c r="L16" s="44"/>
      <c r="M16" s="161"/>
      <c r="N16" s="161"/>
      <c r="O16" s="161"/>
      <c r="P16" s="161"/>
      <c r="Q16" s="44"/>
      <c r="V16" s="61"/>
      <c r="W16" s="161"/>
      <c r="X16" s="161"/>
      <c r="Y16" s="161"/>
      <c r="Z16" s="161"/>
      <c r="AA16" s="161"/>
      <c r="AB16" s="161"/>
      <c r="AC16" s="161"/>
      <c r="AD16" s="161"/>
      <c r="AE16" s="162"/>
      <c r="AF16" s="162"/>
      <c r="AG16" s="162"/>
      <c r="AH16" s="161"/>
      <c r="AI16" s="61"/>
      <c r="AJ16" s="161"/>
      <c r="AK16" s="161"/>
      <c r="AL16" s="161"/>
    </row>
    <row r="17" spans="1:40" s="338" customFormat="1" ht="30" customHeight="1" thickBot="1">
      <c r="A17" s="44"/>
      <c r="B17" s="435" t="s">
        <v>45</v>
      </c>
      <c r="C17" s="162"/>
      <c r="D17" s="162"/>
      <c r="E17" s="162"/>
      <c r="F17" s="44"/>
      <c r="G17" s="162"/>
      <c r="H17" s="274"/>
      <c r="I17" s="135">
        <f>SUM(I7:I12)</f>
        <v>3</v>
      </c>
      <c r="J17" s="201"/>
      <c r="K17" s="201"/>
      <c r="L17" s="135"/>
      <c r="M17" s="201"/>
      <c r="N17" s="131">
        <f>SUM(N6:N13)</f>
        <v>2</v>
      </c>
      <c r="O17" s="201"/>
      <c r="P17" s="201"/>
      <c r="Q17" s="135"/>
      <c r="R17" s="391"/>
      <c r="S17" s="135">
        <f>SUM(S8:S9)</f>
        <v>0</v>
      </c>
      <c r="U17" s="391"/>
      <c r="V17" s="392"/>
      <c r="W17" s="393"/>
      <c r="X17" s="201"/>
      <c r="Y17" s="201"/>
      <c r="Z17" s="201"/>
      <c r="AA17" s="275">
        <f>SUM(I17:U17)</f>
        <v>5</v>
      </c>
      <c r="AB17" s="201"/>
      <c r="AC17" s="201"/>
      <c r="AD17" s="201"/>
      <c r="AF17" s="275">
        <f>SUM(AF7:AF12)</f>
        <v>0</v>
      </c>
      <c r="AG17" s="394"/>
      <c r="AH17" s="394"/>
      <c r="AI17" s="395"/>
      <c r="AJ17" s="162"/>
      <c r="AK17" s="162"/>
      <c r="AL17" s="162"/>
      <c r="AM17" s="162"/>
    </row>
    <row r="18" spans="1:40" ht="30" hidden="1" customHeight="1">
      <c r="A18" s="44"/>
      <c r="B18" s="44"/>
      <c r="C18" s="44" t="s">
        <v>41</v>
      </c>
      <c r="D18" s="44"/>
      <c r="E18" s="44"/>
      <c r="F18" s="44"/>
      <c r="G18" s="47"/>
      <c r="H18" s="161"/>
      <c r="I18" s="161"/>
      <c r="J18" s="161"/>
      <c r="K18" s="161"/>
      <c r="L18" s="161"/>
      <c r="M18" s="44"/>
      <c r="N18" s="44"/>
      <c r="O18" s="44"/>
      <c r="P18" s="113"/>
      <c r="Q18" s="44"/>
      <c r="R18" s="44"/>
      <c r="T18" s="44"/>
      <c r="V18" s="197"/>
      <c r="W18" s="113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249"/>
      <c r="AJ18" s="161"/>
      <c r="AK18" s="161"/>
      <c r="AL18" s="161"/>
      <c r="AM18" s="161"/>
    </row>
    <row r="19" spans="1:40" ht="30" hidden="1" customHeight="1">
      <c r="A19" s="44"/>
      <c r="B19" s="144" t="s">
        <v>42</v>
      </c>
      <c r="C19" s="214" t="s">
        <v>101</v>
      </c>
      <c r="D19" s="44"/>
      <c r="E19" s="44"/>
      <c r="F19" s="161"/>
      <c r="G19" s="161"/>
      <c r="H19" s="44"/>
      <c r="I19" s="161"/>
      <c r="J19" s="161"/>
      <c r="K19" s="161"/>
      <c r="L19" s="161"/>
      <c r="M19" s="44"/>
      <c r="N19" s="44"/>
      <c r="O19" s="44"/>
      <c r="P19" s="113"/>
      <c r="Q19" s="44"/>
      <c r="R19" s="44"/>
      <c r="S19" s="161"/>
      <c r="T19" s="161"/>
      <c r="U19" s="44"/>
      <c r="V19" s="161"/>
      <c r="W19" s="113"/>
      <c r="X19" s="113"/>
      <c r="Y19" s="113"/>
      <c r="Z19" s="113"/>
      <c r="AA19" s="113"/>
      <c r="AB19" s="113"/>
      <c r="AC19" s="113"/>
      <c r="AD19" s="113"/>
      <c r="AE19" s="113"/>
      <c r="AF19" s="161"/>
      <c r="AG19" s="161"/>
      <c r="AH19" s="161"/>
      <c r="AI19" s="161"/>
      <c r="AJ19" s="161"/>
      <c r="AK19" s="161"/>
      <c r="AL19" s="161"/>
      <c r="AM19" s="161"/>
      <c r="AN19" s="161"/>
    </row>
    <row r="20" spans="1:40" ht="30" hidden="1" customHeight="1">
      <c r="A20" s="44"/>
      <c r="B20" s="145" t="s">
        <v>43</v>
      </c>
      <c r="C20" s="214" t="s">
        <v>102</v>
      </c>
      <c r="D20" s="41"/>
      <c r="E20" s="161"/>
      <c r="F20" s="44"/>
      <c r="G20" s="47"/>
      <c r="H20" s="44"/>
      <c r="I20" s="44"/>
      <c r="J20" s="44"/>
      <c r="K20" s="44"/>
      <c r="L20" s="44"/>
      <c r="M20" s="44"/>
      <c r="N20" s="44"/>
      <c r="O20" s="161"/>
      <c r="P20" s="44"/>
      <c r="Q20" s="162"/>
      <c r="R20" s="44"/>
      <c r="S20" s="44"/>
      <c r="T20" s="44"/>
      <c r="U20" s="161"/>
      <c r="V20" s="44"/>
      <c r="W20" s="113"/>
      <c r="X20" s="113"/>
      <c r="Y20" s="113"/>
      <c r="Z20" s="113"/>
      <c r="AA20" s="113"/>
      <c r="AB20" s="113"/>
      <c r="AC20" s="113"/>
      <c r="AD20" s="113"/>
      <c r="AE20" s="113"/>
      <c r="AF20" s="161"/>
      <c r="AG20" s="161"/>
      <c r="AH20" s="161"/>
      <c r="AI20" s="161"/>
      <c r="AJ20" s="161"/>
      <c r="AK20" s="162"/>
      <c r="AL20" s="162"/>
      <c r="AM20" s="162"/>
      <c r="AN20" s="162"/>
    </row>
    <row r="21" spans="1:40" ht="30" customHeight="1">
      <c r="A21" s="161"/>
      <c r="E21" s="161"/>
      <c r="F21" s="44"/>
      <c r="G21" s="44"/>
      <c r="H21" s="47"/>
      <c r="I21" s="44"/>
      <c r="J21" s="44"/>
      <c r="K21" s="44"/>
      <c r="L21" s="44"/>
      <c r="M21" s="44"/>
      <c r="N21" s="161"/>
      <c r="O21" s="161"/>
      <c r="P21" s="161"/>
      <c r="Q21" s="161"/>
      <c r="R21" s="44"/>
      <c r="S21" s="44"/>
      <c r="T21" s="44"/>
      <c r="U21" s="161"/>
      <c r="V21" s="44"/>
      <c r="W21" s="113"/>
      <c r="X21" s="181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61"/>
      <c r="AJ21" s="161"/>
      <c r="AK21" s="161"/>
      <c r="AL21" s="161"/>
      <c r="AM21" s="161"/>
      <c r="AN21" s="161"/>
    </row>
    <row r="22" spans="1:40" s="48" customFormat="1" ht="30" customHeight="1">
      <c r="F22" s="44"/>
      <c r="G22" s="44"/>
      <c r="H22" s="44"/>
      <c r="I22" s="361">
        <v>15</v>
      </c>
      <c r="J22" s="44"/>
      <c r="K22" s="361"/>
      <c r="L22" s="44"/>
      <c r="M22" s="44"/>
      <c r="N22" s="44">
        <v>4</v>
      </c>
      <c r="O22" s="44"/>
      <c r="P22" s="44"/>
      <c r="Q22" s="44"/>
      <c r="R22" s="44"/>
      <c r="S22" s="44">
        <v>2</v>
      </c>
      <c r="T22" s="44"/>
      <c r="U22" s="44"/>
      <c r="V22" s="44"/>
      <c r="W22" s="113"/>
      <c r="X22" s="113"/>
      <c r="Y22" s="113"/>
      <c r="Z22" s="113"/>
      <c r="AA22" s="113">
        <v>21</v>
      </c>
      <c r="AB22" s="113"/>
      <c r="AC22" s="113"/>
      <c r="AD22" s="113"/>
      <c r="AE22" s="113"/>
      <c r="AF22" s="113">
        <f>SUM(I22:S22)</f>
        <v>21</v>
      </c>
      <c r="AG22" s="113"/>
      <c r="AH22" s="113"/>
      <c r="AI22" s="44"/>
      <c r="AJ22" s="44"/>
      <c r="AK22" s="44"/>
      <c r="AL22" s="44"/>
      <c r="AM22" s="44"/>
      <c r="AN22" s="44"/>
    </row>
    <row r="23" spans="1:40" ht="30" customHeight="1">
      <c r="F23" s="161"/>
      <c r="G23" s="161"/>
      <c r="H23" s="161"/>
      <c r="I23" s="44"/>
      <c r="J23" s="44"/>
      <c r="K23" s="161"/>
      <c r="L23" s="44"/>
      <c r="M23" s="44"/>
      <c r="N23" s="161"/>
      <c r="O23" s="161"/>
      <c r="P23" s="161"/>
      <c r="Q23" s="161"/>
      <c r="R23" s="44"/>
      <c r="S23" s="44"/>
      <c r="T23" s="44"/>
      <c r="U23" s="161"/>
      <c r="V23" s="162"/>
      <c r="W23" s="197"/>
      <c r="X23" s="197"/>
      <c r="AJ23" s="161"/>
      <c r="AK23" s="161"/>
      <c r="AL23" s="161"/>
      <c r="AM23" s="161"/>
      <c r="AN23" s="161"/>
    </row>
    <row r="24" spans="1:40" ht="16.5" customHeight="1">
      <c r="M24" s="161"/>
      <c r="R24" s="161"/>
      <c r="S24" s="161"/>
      <c r="T24" s="161"/>
      <c r="V24" s="161"/>
      <c r="W24" s="197"/>
      <c r="X24" s="197"/>
      <c r="AJ24" s="161"/>
    </row>
    <row r="25" spans="1:40" ht="18" customHeight="1">
      <c r="S25" s="161"/>
      <c r="T25" s="161"/>
      <c r="V25" s="161"/>
    </row>
    <row r="26" spans="1:40" ht="18" customHeight="1">
      <c r="B26" s="44"/>
      <c r="C26" s="44" t="s">
        <v>41</v>
      </c>
      <c r="D26" s="44"/>
      <c r="E26" s="161"/>
    </row>
    <row r="27" spans="1:40" ht="18" customHeight="1">
      <c r="B27" s="144" t="s">
        <v>42</v>
      </c>
      <c r="C27" s="214" t="s">
        <v>101</v>
      </c>
      <c r="D27" s="44"/>
      <c r="E27" s="161"/>
    </row>
    <row r="28" spans="1:40" ht="18.75">
      <c r="B28" s="145" t="s">
        <v>43</v>
      </c>
      <c r="C28" s="214" t="s">
        <v>102</v>
      </c>
      <c r="D28" s="41"/>
      <c r="E28" s="161"/>
    </row>
  </sheetData>
  <sheetProtection formatCells="0" formatColumns="0" formatRows="0" insertColumns="0" insertRows="0" insertHyperlinks="0" deleteColumns="0" deleteRows="0" sort="0"/>
  <mergeCells count="4">
    <mergeCell ref="B16:C16"/>
    <mergeCell ref="AE5:AF5"/>
    <mergeCell ref="E2:F2"/>
    <mergeCell ref="AI5:AK5"/>
  </mergeCells>
  <conditionalFormatting sqref="AD7:AD11">
    <cfRule type="duplicateValues" dxfId="20" priority="5"/>
  </conditionalFormatting>
  <pageMargins left="0.19685039370078741" right="0.23622047244094491" top="0.23622047244094491" bottom="0.47244094488188981" header="0.15748031496062992" footer="0.23622047244094491"/>
  <pageSetup orientation="landscape" horizontalDpi="4294967293" verticalDpi="300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</sheetPr>
  <dimension ref="A1:AM33"/>
  <sheetViews>
    <sheetView zoomScale="60" zoomScaleNormal="60" zoomScalePageLayoutView="90" workbookViewId="0">
      <selection activeCell="T13" sqref="T13:T14"/>
    </sheetView>
  </sheetViews>
  <sheetFormatPr baseColWidth="10" defaultRowHeight="15"/>
  <cols>
    <col min="1" max="1" width="6.5703125" style="45" customWidth="1"/>
    <col min="2" max="2" width="27.42578125" style="45" customWidth="1"/>
    <col min="3" max="3" width="24.7109375" style="45" customWidth="1"/>
    <col min="4" max="4" width="10.5703125" style="45" customWidth="1"/>
    <col min="5" max="5" width="4.42578125" style="45" customWidth="1"/>
    <col min="6" max="6" width="7.85546875" style="45" customWidth="1"/>
    <col min="7" max="7" width="7.140625" style="45" hidden="1" customWidth="1"/>
    <col min="8" max="8" width="24.7109375" style="45" customWidth="1"/>
    <col min="9" max="9" width="7.42578125" style="45" hidden="1" customWidth="1"/>
    <col min="10" max="10" width="8.28515625" style="45" customWidth="1"/>
    <col min="11" max="11" width="9.5703125" style="45" customWidth="1"/>
    <col min="12" max="12" width="7.7109375" style="45" customWidth="1"/>
    <col min="13" max="13" width="29.7109375" style="45" customWidth="1"/>
    <col min="14" max="14" width="8.28515625" style="45" hidden="1" customWidth="1"/>
    <col min="15" max="15" width="8.85546875" style="45" customWidth="1"/>
    <col min="16" max="16" width="18" style="45" customWidth="1"/>
    <col min="17" max="17" width="6.85546875" style="45" customWidth="1"/>
    <col min="18" max="18" width="29.7109375" style="45" customWidth="1"/>
    <col min="19" max="19" width="11.85546875" style="45" hidden="1" customWidth="1"/>
    <col min="20" max="20" width="9.7109375" style="45" customWidth="1"/>
    <col min="21" max="21" width="6.5703125" style="45" customWidth="1"/>
    <col min="22" max="22" width="9.28515625" style="248" hidden="1" customWidth="1"/>
    <col min="23" max="23" width="11" style="45" hidden="1" customWidth="1"/>
    <col min="24" max="24" width="9.5703125" style="45" hidden="1" customWidth="1"/>
    <col min="25" max="25" width="9" style="45" hidden="1" customWidth="1"/>
    <col min="26" max="26" width="10.28515625" style="45" hidden="1" customWidth="1"/>
    <col min="27" max="28" width="13.28515625" style="45" hidden="1" customWidth="1"/>
    <col min="29" max="29" width="13.5703125" style="45" hidden="1" customWidth="1"/>
    <col min="30" max="30" width="11.28515625" style="45" customWidth="1"/>
    <col min="31" max="31" width="25.85546875" style="45" customWidth="1"/>
    <col min="32" max="32" width="11.5703125" style="45" customWidth="1"/>
    <col min="33" max="33" width="5.85546875" style="45" customWidth="1"/>
    <col min="34" max="34" width="30" style="45" customWidth="1"/>
    <col min="35" max="35" width="11.7109375" style="45" customWidth="1"/>
    <col min="36" max="36" width="42.7109375" style="45" customWidth="1"/>
    <col min="37" max="37" width="16.5703125" style="45" customWidth="1"/>
    <col min="38" max="38" width="10.7109375" style="45" customWidth="1"/>
    <col min="39" max="39" width="16.42578125" style="45" customWidth="1"/>
    <col min="40" max="16384" width="11.42578125" style="45"/>
  </cols>
  <sheetData>
    <row r="1" spans="1:39" s="414" customFormat="1" ht="42" customHeight="1" thickBot="1">
      <c r="A1" s="411"/>
      <c r="B1" s="411"/>
      <c r="C1" s="411"/>
      <c r="D1" s="412" t="s">
        <v>0</v>
      </c>
      <c r="E1" s="411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3"/>
      <c r="Q1" s="412"/>
      <c r="R1" s="412" t="s">
        <v>138</v>
      </c>
      <c r="S1" s="412"/>
      <c r="T1" s="412"/>
      <c r="U1" s="412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5"/>
      <c r="AJ1" s="415"/>
      <c r="AK1" s="415"/>
      <c r="AL1" s="415"/>
      <c r="AM1" s="415"/>
    </row>
    <row r="2" spans="1:39" ht="30" customHeight="1" thickBot="1">
      <c r="A2" s="44"/>
      <c r="B2" s="357" t="s">
        <v>46</v>
      </c>
      <c r="C2" s="406"/>
      <c r="D2" s="44"/>
      <c r="E2" s="43" t="s">
        <v>44</v>
      </c>
      <c r="F2" s="43"/>
      <c r="G2" s="43"/>
      <c r="H2" s="43"/>
      <c r="I2" s="43"/>
      <c r="J2" s="43"/>
      <c r="K2" s="43"/>
      <c r="L2" s="43" t="s">
        <v>22</v>
      </c>
      <c r="M2" s="43"/>
      <c r="N2" s="44"/>
      <c r="O2" s="44"/>
      <c r="P2" s="113"/>
      <c r="Q2" s="44"/>
      <c r="R2" s="44"/>
      <c r="S2" s="44"/>
      <c r="T2" s="44"/>
      <c r="U2" s="44"/>
      <c r="V2" s="113"/>
      <c r="W2" s="113"/>
      <c r="X2" s="113"/>
      <c r="Y2" s="113"/>
      <c r="Z2" s="113"/>
      <c r="AA2" s="140"/>
      <c r="AB2" s="140"/>
      <c r="AC2" s="140"/>
      <c r="AD2" s="140"/>
      <c r="AE2" s="140"/>
      <c r="AF2" s="140"/>
      <c r="AG2" s="140"/>
      <c r="AH2" s="140"/>
      <c r="AI2" s="161"/>
      <c r="AJ2" s="161"/>
      <c r="AK2" s="161"/>
      <c r="AL2" s="161"/>
      <c r="AM2" s="161"/>
    </row>
    <row r="3" spans="1:39" ht="30" customHeight="1">
      <c r="A3" s="44"/>
      <c r="B3" s="44"/>
      <c r="C3" s="44"/>
      <c r="D3" s="44"/>
      <c r="E3" s="44"/>
      <c r="F3" s="44"/>
      <c r="G3" s="44"/>
      <c r="H3" s="46" t="s">
        <v>3</v>
      </c>
      <c r="I3" s="189"/>
      <c r="J3" s="46"/>
      <c r="K3" s="46"/>
      <c r="L3" s="46"/>
      <c r="M3" s="46" t="s">
        <v>5</v>
      </c>
      <c r="N3" s="46"/>
      <c r="O3" s="44"/>
      <c r="P3" s="44"/>
      <c r="Q3" s="44"/>
      <c r="R3" s="46" t="s">
        <v>230</v>
      </c>
      <c r="X3" s="113"/>
      <c r="Y3" s="113"/>
      <c r="Z3" s="140"/>
      <c r="AA3" s="140"/>
      <c r="AB3" s="140"/>
      <c r="AG3" s="140"/>
      <c r="AH3" s="161"/>
      <c r="AI3" s="161"/>
      <c r="AJ3" s="161"/>
      <c r="AK3" s="161"/>
      <c r="AL3" s="161"/>
    </row>
    <row r="4" spans="1:39" ht="30" customHeight="1" thickBot="1">
      <c r="A4" s="44"/>
      <c r="B4" s="44"/>
      <c r="C4" s="44"/>
      <c r="D4" s="44"/>
      <c r="E4" s="44"/>
      <c r="F4" s="44"/>
      <c r="G4" s="44"/>
      <c r="H4" s="44"/>
      <c r="I4" s="46"/>
      <c r="J4" s="189"/>
      <c r="K4" s="46"/>
      <c r="L4" s="46"/>
      <c r="M4" s="44"/>
      <c r="N4" s="46"/>
      <c r="O4" s="189"/>
      <c r="P4" s="140"/>
      <c r="Q4" s="46"/>
      <c r="R4" s="44"/>
      <c r="S4" s="46"/>
      <c r="T4" s="189"/>
      <c r="U4" s="46"/>
      <c r="V4" s="113"/>
      <c r="W4" s="61"/>
      <c r="X4" s="61"/>
      <c r="Y4" s="61"/>
      <c r="Z4" s="61"/>
      <c r="AA4" s="61"/>
      <c r="AB4" s="113"/>
      <c r="AC4" s="113"/>
      <c r="AD4" s="113"/>
      <c r="AE4" s="113"/>
      <c r="AF4" s="113"/>
      <c r="AG4" s="113"/>
      <c r="AH4" s="113"/>
      <c r="AI4" s="161"/>
      <c r="AJ4" s="161"/>
      <c r="AK4" s="161"/>
      <c r="AL4" s="161"/>
      <c r="AM4" s="161"/>
    </row>
    <row r="5" spans="1:39" ht="30" customHeight="1" thickBot="1">
      <c r="A5" s="44"/>
      <c r="B5" s="44"/>
      <c r="C5" s="44"/>
      <c r="D5" s="44"/>
      <c r="E5" s="44"/>
      <c r="F5" s="44"/>
      <c r="G5" s="44"/>
      <c r="H5" s="44"/>
      <c r="I5" s="46"/>
      <c r="J5" s="189"/>
      <c r="K5" s="46"/>
      <c r="L5" s="44"/>
      <c r="M5" s="44" t="s">
        <v>6</v>
      </c>
      <c r="N5" s="113" t="s">
        <v>108</v>
      </c>
      <c r="O5" s="44" t="s">
        <v>107</v>
      </c>
      <c r="P5" s="44"/>
      <c r="Q5" s="46"/>
      <c r="R5" s="46"/>
      <c r="S5" s="46"/>
      <c r="T5" s="44"/>
      <c r="U5" s="113"/>
      <c r="V5" s="61"/>
      <c r="W5" s="246"/>
      <c r="X5" s="61"/>
      <c r="Y5" s="61"/>
      <c r="Z5" s="61"/>
      <c r="AA5" s="246"/>
      <c r="AB5" s="293"/>
      <c r="AC5" s="293"/>
      <c r="AD5" s="292"/>
      <c r="AE5" s="766" t="s">
        <v>129</v>
      </c>
      <c r="AF5" s="767"/>
      <c r="AG5" s="140"/>
      <c r="AH5" s="161"/>
      <c r="AI5" s="769" t="s">
        <v>113</v>
      </c>
      <c r="AJ5" s="770"/>
      <c r="AK5" s="771"/>
    </row>
    <row r="6" spans="1:39" ht="30" customHeight="1" thickBot="1">
      <c r="A6" s="190"/>
      <c r="B6" s="291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189" t="s">
        <v>108</v>
      </c>
      <c r="J6" s="44" t="s">
        <v>107</v>
      </c>
      <c r="K6" s="44"/>
      <c r="L6" s="570" t="s">
        <v>2</v>
      </c>
      <c r="M6" s="519" t="str">
        <f>IF(J7=J8,"Gagnant du 1",IF(J7&gt;J8,H7,H8))</f>
        <v>Gagnant du 1</v>
      </c>
      <c r="N6" s="441">
        <f>IF(O6=O7,0,IF(O6&lt;O7,0,2))</f>
        <v>0</v>
      </c>
      <c r="O6" s="576"/>
      <c r="P6" s="44"/>
      <c r="Q6" s="44"/>
      <c r="R6" s="44" t="s">
        <v>49</v>
      </c>
      <c r="S6" s="44" t="s">
        <v>108</v>
      </c>
      <c r="T6" s="44" t="s">
        <v>107</v>
      </c>
      <c r="U6" s="113"/>
      <c r="V6" s="113"/>
      <c r="W6" s="303" t="s">
        <v>111</v>
      </c>
      <c r="X6" s="304" t="s">
        <v>189</v>
      </c>
      <c r="Y6" s="304" t="s">
        <v>190</v>
      </c>
      <c r="Z6" s="304" t="s">
        <v>191</v>
      </c>
      <c r="AA6" s="305" t="s">
        <v>193</v>
      </c>
      <c r="AB6" s="113" t="s">
        <v>109</v>
      </c>
      <c r="AC6" s="113" t="s">
        <v>110</v>
      </c>
      <c r="AD6" s="433" t="s">
        <v>238</v>
      </c>
      <c r="AE6" s="364" t="s">
        <v>111</v>
      </c>
      <c r="AF6" s="365" t="s">
        <v>192</v>
      </c>
      <c r="AG6" s="61"/>
      <c r="AH6" s="238" t="s">
        <v>12</v>
      </c>
      <c r="AI6" s="239" t="s">
        <v>56</v>
      </c>
      <c r="AJ6" s="239" t="s">
        <v>241</v>
      </c>
      <c r="AK6" s="239" t="s">
        <v>16</v>
      </c>
    </row>
    <row r="7" spans="1:39" ht="30" customHeight="1" thickBot="1">
      <c r="A7" s="87">
        <v>1</v>
      </c>
      <c r="B7" s="555"/>
      <c r="C7" s="556"/>
      <c r="D7" s="89"/>
      <c r="E7" s="44"/>
      <c r="F7" s="573" t="s">
        <v>2</v>
      </c>
      <c r="G7" s="475">
        <v>1</v>
      </c>
      <c r="H7" s="182" t="str">
        <f>IF(ISNA(MATCH(G7,$D$7:$D$12,0)),"",INDEX(B$7:$B$12,MATCH(G7,$D$7:$D$12,0)))</f>
        <v/>
      </c>
      <c r="I7" s="126">
        <f>IF(J7=J8,0,IF(J7&lt;J8,2,4))</f>
        <v>0</v>
      </c>
      <c r="J7" s="576"/>
      <c r="K7" s="47"/>
      <c r="L7" s="571">
        <v>3</v>
      </c>
      <c r="M7" s="520" t="str">
        <f>IF(J9=J10,"Gagnant du 2",IF(J9&gt;J10,H9,H10))</f>
        <v>Gagnant du 2</v>
      </c>
      <c r="N7" s="130">
        <f>IF(O6=O7,0,IF(O6&gt;O7,0,2))</f>
        <v>0</v>
      </c>
      <c r="O7" s="577"/>
      <c r="P7" s="47"/>
      <c r="Q7" s="570" t="s">
        <v>2</v>
      </c>
      <c r="R7" s="528" t="str">
        <f>IF(O6=O7,"Gagnant du 3",IF(O6&gt;O7,M6,M7))</f>
        <v>Gagnant du 3</v>
      </c>
      <c r="S7" s="441">
        <f>IF(T7=T8,0,IF(T7&lt;T8,0,2))</f>
        <v>0</v>
      </c>
      <c r="T7" s="576"/>
      <c r="U7" s="61"/>
      <c r="V7" s="208">
        <v>1</v>
      </c>
      <c r="W7" s="306">
        <f t="shared" ref="W7:W12" si="0">+B7</f>
        <v>0</v>
      </c>
      <c r="X7" s="307" t="str">
        <f>IF(ISNA(VLOOKUP(W7,$H$7:$I$12,2,0)),"",VLOOKUP(W7,$H$7:$J$12,2,0))</f>
        <v/>
      </c>
      <c r="Y7" s="211" t="str">
        <f>IF(ISNA(VLOOKUP(W7,$M$6:$N$15,2,0)),"",VLOOKUP(W7,$M$6:$N$15,2,0))</f>
        <v/>
      </c>
      <c r="Z7" s="296" t="str">
        <f>IF(ISNA(VLOOKUP(W7,$R$7:$S$14,3,0)),"",VLOOKUP(W7,$R$7:$S$14,2,0))</f>
        <v/>
      </c>
      <c r="AA7" s="346">
        <f t="shared" ref="AA7:AA12" si="1">SUM(X7:Z7)</f>
        <v>0</v>
      </c>
      <c r="AB7" s="345">
        <f t="shared" ref="AB7:AB12" si="2">IF(OR(W7="",AA7=""),"",RANK(AA7,$AA$7:$AA$12)+COUNTIF(W$7:W$12,"&lt;="&amp;W7+1)/10000+ROW()/100000)</f>
        <v>1.0006699999999999</v>
      </c>
      <c r="AC7" s="314">
        <f>IF(W7="","",SMALL(AB$7:AB$12,ROWS(AF7:AF$7)))</f>
        <v>1.0006699999999999</v>
      </c>
      <c r="AD7" s="323">
        <f>IF(AC7="","",1)</f>
        <v>1</v>
      </c>
      <c r="AE7" s="454">
        <f t="shared" ref="AE7:AE12" si="3">IF(OR(W7="",AA7=""),"",INDEX($W$7:$W$12,MATCH(AC7,$AB$7:$AB$12,0)))</f>
        <v>0</v>
      </c>
      <c r="AF7" s="452">
        <f t="shared" ref="AF7:AF12" si="4">IF(W7="","",INDEX($AA$7:$AA$12,MATCH(AC7,$AB$7:$AB$12,0)))</f>
        <v>0</v>
      </c>
      <c r="AG7" s="301"/>
      <c r="AH7" s="570" t="s">
        <v>115</v>
      </c>
      <c r="AI7" s="241">
        <v>2</v>
      </c>
      <c r="AJ7" s="241" t="s">
        <v>243</v>
      </c>
      <c r="AK7" s="727" t="s">
        <v>312</v>
      </c>
    </row>
    <row r="8" spans="1:39" ht="30" customHeight="1" thickBot="1">
      <c r="A8" s="94">
        <v>2</v>
      </c>
      <c r="B8" s="557"/>
      <c r="C8" s="558"/>
      <c r="D8" s="96"/>
      <c r="E8" s="44"/>
      <c r="F8" s="574">
        <v>1</v>
      </c>
      <c r="G8" s="476">
        <v>2</v>
      </c>
      <c r="H8" s="183" t="str">
        <f>IF(ISNA(MATCH(G8,$D$7:$D$12,0)),"",INDEX(B$7:$B$12,MATCH(G8,$D$7:$D$12,0)))</f>
        <v/>
      </c>
      <c r="I8" s="130">
        <f>IF(J7=J8,0,IF(J7&gt;J8,2,4))</f>
        <v>0</v>
      </c>
      <c r="J8" s="577"/>
      <c r="K8" s="44"/>
      <c r="L8" s="570" t="s">
        <v>2</v>
      </c>
      <c r="M8" s="528" t="str">
        <f>IF(J11=J12,"Gagnant du 3",IF(J11&gt;J12,H11,H12))</f>
        <v>Gagnant du 3</v>
      </c>
      <c r="N8" s="216">
        <v>1</v>
      </c>
      <c r="O8" s="121">
        <v>1</v>
      </c>
      <c r="P8" s="44"/>
      <c r="Q8" s="571">
        <v>6</v>
      </c>
      <c r="R8" s="520" t="str">
        <f>IF(O8=O9,"Gagnant du 5",IF(O8&gt;O9,M8,M9))</f>
        <v>Gagnant du 3</v>
      </c>
      <c r="S8" s="130">
        <f>IF(T7=T8,0,IF(T7&gt;T8,0,2))</f>
        <v>0</v>
      </c>
      <c r="T8" s="577"/>
      <c r="U8" s="61"/>
      <c r="V8" s="209">
        <v>2</v>
      </c>
      <c r="W8" s="308">
        <f t="shared" si="0"/>
        <v>0</v>
      </c>
      <c r="X8" s="297" t="str">
        <f t="shared" ref="X8:X12" si="5">IF(ISNA(VLOOKUP(W8,$H$7:$I$12,2,0)),"",VLOOKUP(W8,$H$7:$J$12,2,0))</f>
        <v/>
      </c>
      <c r="Y8" s="298" t="str">
        <f t="shared" ref="Y8:Y12" si="6">IF(ISNA(VLOOKUP(W8,$M$6:$N$15,2,0)),"",VLOOKUP(W8,$M$6:$N$15,2,0))</f>
        <v/>
      </c>
      <c r="Z8" s="300" t="str">
        <f t="shared" ref="Z8:Z12" si="7">IF(ISNA(VLOOKUP(W8,$R$7:$S$14,3,0)),"",VLOOKUP(W8,$R$7:$S$14,2,0))</f>
        <v/>
      </c>
      <c r="AA8" s="347">
        <f t="shared" si="1"/>
        <v>0</v>
      </c>
      <c r="AB8" s="299">
        <f t="shared" si="2"/>
        <v>1.00068</v>
      </c>
      <c r="AC8" s="315">
        <f>IF(W8="","",SMALL(AB$7:AB$12,ROWS(AF$7:AF8)))</f>
        <v>1.00068</v>
      </c>
      <c r="AD8" s="324">
        <f>IF(AC8="","",IF(AND(AF7=AF8),AD7,$AD$7+1))</f>
        <v>1</v>
      </c>
      <c r="AE8" s="455">
        <f t="shared" si="3"/>
        <v>0</v>
      </c>
      <c r="AF8" s="453">
        <f t="shared" si="4"/>
        <v>0</v>
      </c>
      <c r="AG8" s="301"/>
      <c r="AH8" s="580" t="s">
        <v>15</v>
      </c>
      <c r="AI8" s="243">
        <v>2</v>
      </c>
      <c r="AJ8" s="243" t="s">
        <v>256</v>
      </c>
      <c r="AK8" s="729" t="s">
        <v>313</v>
      </c>
    </row>
    <row r="9" spans="1:39" ht="30" customHeight="1" thickBot="1">
      <c r="A9" s="94">
        <v>3</v>
      </c>
      <c r="B9" s="559"/>
      <c r="C9" s="560"/>
      <c r="D9" s="96"/>
      <c r="E9" s="44"/>
      <c r="F9" s="573" t="s">
        <v>2</v>
      </c>
      <c r="G9" s="475">
        <v>3</v>
      </c>
      <c r="H9" s="182" t="str">
        <f>IF(ISNA(MATCH(G9,$D$7:$D$12,0)),"",INDEX(B$7:$B$12,MATCH(G9,$D$7:$D$12,0)))</f>
        <v/>
      </c>
      <c r="I9" s="126">
        <f>IF(J9=J10,0,IF(J9&lt;J10,2,4))</f>
        <v>0</v>
      </c>
      <c r="J9" s="578"/>
      <c r="K9" s="44"/>
      <c r="L9" s="282">
        <v>5</v>
      </c>
      <c r="M9" s="118" t="s">
        <v>105</v>
      </c>
      <c r="N9" s="217">
        <v>0</v>
      </c>
      <c r="O9" s="752"/>
      <c r="P9" s="44"/>
      <c r="Q9" s="161"/>
      <c r="R9" s="197"/>
      <c r="S9" s="161"/>
      <c r="T9" s="161"/>
      <c r="U9" s="197"/>
      <c r="V9" s="209">
        <v>3</v>
      </c>
      <c r="W9" s="309">
        <f t="shared" si="0"/>
        <v>0</v>
      </c>
      <c r="X9" s="297" t="str">
        <f t="shared" si="5"/>
        <v/>
      </c>
      <c r="Y9" s="298" t="str">
        <f t="shared" si="6"/>
        <v/>
      </c>
      <c r="Z9" s="300" t="str">
        <f t="shared" si="7"/>
        <v/>
      </c>
      <c r="AA9" s="347">
        <f t="shared" si="1"/>
        <v>0</v>
      </c>
      <c r="AB9" s="299">
        <f t="shared" si="2"/>
        <v>1.0006899999999999</v>
      </c>
      <c r="AC9" s="315">
        <f>IF(W9="","",SMALL(AB$7:AB$12,ROWS(AF$7:AF9)))</f>
        <v>1.0006899999999999</v>
      </c>
      <c r="AD9" s="324">
        <f t="shared" ref="AD9:AD12" si="8">IF(AC9="","",IF(AND(AF8=AF9),AD8,$AD$7+1))</f>
        <v>1</v>
      </c>
      <c r="AE9" s="455">
        <f t="shared" si="3"/>
        <v>0</v>
      </c>
      <c r="AF9" s="453">
        <f t="shared" si="4"/>
        <v>0</v>
      </c>
      <c r="AG9" s="301"/>
      <c r="AH9" s="733" t="s">
        <v>63</v>
      </c>
      <c r="AI9" s="245">
        <v>2</v>
      </c>
      <c r="AJ9" s="245" t="s">
        <v>308</v>
      </c>
      <c r="AK9" s="730" t="s">
        <v>314</v>
      </c>
    </row>
    <row r="10" spans="1:39" ht="30" customHeight="1" thickBot="1">
      <c r="A10" s="94">
        <v>4</v>
      </c>
      <c r="B10" s="557"/>
      <c r="C10" s="558"/>
      <c r="D10" s="96"/>
      <c r="E10" s="44"/>
      <c r="F10" s="574">
        <v>2</v>
      </c>
      <c r="G10" s="476">
        <v>4</v>
      </c>
      <c r="H10" s="183" t="str">
        <f>IF(ISNA(MATCH(G10,$D$7:$D$12,0)),"",INDEX(B$7:$B$12,MATCH(G10,$D$7:$D$12,0)))</f>
        <v/>
      </c>
      <c r="I10" s="130">
        <f>IF(J9=J10,0,IF(J9&gt;J10,2,4))</f>
        <v>0</v>
      </c>
      <c r="J10" s="579"/>
      <c r="K10" s="47"/>
      <c r="L10" s="161"/>
      <c r="M10" s="722" t="s">
        <v>232</v>
      </c>
      <c r="N10" s="161"/>
      <c r="O10" s="161"/>
      <c r="P10" s="47"/>
      <c r="Q10" s="161"/>
      <c r="R10" s="197"/>
      <c r="S10" s="161"/>
      <c r="T10" s="161"/>
      <c r="U10" s="197"/>
      <c r="V10" s="209">
        <v>4</v>
      </c>
      <c r="W10" s="309">
        <f t="shared" si="0"/>
        <v>0</v>
      </c>
      <c r="X10" s="297" t="str">
        <f t="shared" si="5"/>
        <v/>
      </c>
      <c r="Y10" s="298" t="str">
        <f t="shared" si="6"/>
        <v/>
      </c>
      <c r="Z10" s="300" t="str">
        <f t="shared" si="7"/>
        <v/>
      </c>
      <c r="AA10" s="347">
        <f t="shared" si="1"/>
        <v>0</v>
      </c>
      <c r="AB10" s="299">
        <f t="shared" si="2"/>
        <v>1.0006999999999999</v>
      </c>
      <c r="AC10" s="315">
        <f>IF(W10="","",SMALL(AB$7:AB$12,ROWS(AF$7:AF10)))</f>
        <v>1.0006999999999999</v>
      </c>
      <c r="AD10" s="324">
        <f t="shared" si="8"/>
        <v>1</v>
      </c>
      <c r="AE10" s="455">
        <f t="shared" si="3"/>
        <v>0</v>
      </c>
      <c r="AF10" s="453">
        <f t="shared" si="4"/>
        <v>0</v>
      </c>
      <c r="AG10" s="301"/>
      <c r="AH10" s="639" t="s">
        <v>117</v>
      </c>
      <c r="AI10" s="245">
        <v>2</v>
      </c>
      <c r="AJ10" s="245" t="s">
        <v>260</v>
      </c>
      <c r="AK10" s="730" t="s">
        <v>314</v>
      </c>
    </row>
    <row r="11" spans="1:39" ht="30" customHeight="1" thickBot="1">
      <c r="A11" s="94">
        <v>5</v>
      </c>
      <c r="B11" s="559"/>
      <c r="C11" s="560"/>
      <c r="D11" s="96"/>
      <c r="E11" s="44"/>
      <c r="F11" s="573" t="s">
        <v>2</v>
      </c>
      <c r="G11" s="475">
        <v>5</v>
      </c>
      <c r="H11" s="182" t="str">
        <f>IF(ISNA(MATCH(G11,$D$7:$D$12,0)),"",INDEX(B$7:$B$12,MATCH(G11,$D$7:$D$12,0)))</f>
        <v/>
      </c>
      <c r="I11" s="126">
        <f>IF(J11=J12,0,IF(J11&lt;J12,2,4))</f>
        <v>0</v>
      </c>
      <c r="J11" s="576"/>
      <c r="K11" s="44"/>
      <c r="L11" s="44"/>
      <c r="M11" s="113" t="s">
        <v>7</v>
      </c>
      <c r="N11" s="246"/>
      <c r="O11" s="195"/>
      <c r="P11" s="44"/>
      <c r="Q11" s="161"/>
      <c r="R11" s="197"/>
      <c r="S11" s="161"/>
      <c r="T11" s="161"/>
      <c r="U11" s="197"/>
      <c r="V11" s="209">
        <v>5</v>
      </c>
      <c r="W11" s="309">
        <f t="shared" si="0"/>
        <v>0</v>
      </c>
      <c r="X11" s="297" t="str">
        <f t="shared" si="5"/>
        <v/>
      </c>
      <c r="Y11" s="298" t="str">
        <f t="shared" si="6"/>
        <v/>
      </c>
      <c r="Z11" s="300" t="str">
        <f t="shared" si="7"/>
        <v/>
      </c>
      <c r="AA11" s="347">
        <f t="shared" si="1"/>
        <v>0</v>
      </c>
      <c r="AB11" s="299">
        <f t="shared" si="2"/>
        <v>1.00071</v>
      </c>
      <c r="AC11" s="315">
        <f>IF(W11="","",SMALL(AB$7:AB$12,ROWS(AF$7:AF11)))</f>
        <v>1.00071</v>
      </c>
      <c r="AD11" s="324">
        <f t="shared" si="8"/>
        <v>1</v>
      </c>
      <c r="AE11" s="455">
        <f t="shared" si="3"/>
        <v>0</v>
      </c>
      <c r="AF11" s="453">
        <f t="shared" si="4"/>
        <v>0</v>
      </c>
      <c r="AG11" s="301"/>
      <c r="AH11" s="732" t="s">
        <v>18</v>
      </c>
      <c r="AI11" s="243">
        <v>2</v>
      </c>
      <c r="AJ11" s="243" t="s">
        <v>251</v>
      </c>
      <c r="AK11" s="729" t="s">
        <v>315</v>
      </c>
    </row>
    <row r="12" spans="1:39" ht="30" customHeight="1" thickBot="1">
      <c r="A12" s="110">
        <v>6</v>
      </c>
      <c r="B12" s="592"/>
      <c r="C12" s="588"/>
      <c r="D12" s="111"/>
      <c r="E12" s="44"/>
      <c r="F12" s="574">
        <v>3</v>
      </c>
      <c r="G12" s="476">
        <v>6</v>
      </c>
      <c r="H12" s="183" t="str">
        <f>IF(ISNA(MATCH(G12,$D$7:$D$12,0)),"",INDEX(B$7:$B$12,MATCH(G12,$D$7:$D$12,0)))</f>
        <v/>
      </c>
      <c r="I12" s="130">
        <f>IF(J11=J12,0,IF(J11&gt;J12,2,4))</f>
        <v>0</v>
      </c>
      <c r="J12" s="577"/>
      <c r="K12" s="44"/>
      <c r="L12" s="522" t="s">
        <v>2</v>
      </c>
      <c r="M12" s="528" t="str">
        <f>IF(J7=J8,"Perdant du 1",IF(J7&lt;J8,H7,H8))</f>
        <v>Perdant du 1</v>
      </c>
      <c r="N12" s="177">
        <f>IF(O12=O13,0,IF(O12&lt;O13,0,1))</f>
        <v>0</v>
      </c>
      <c r="O12" s="631"/>
      <c r="P12" s="44"/>
      <c r="Q12" s="44"/>
      <c r="R12" s="113" t="s">
        <v>51</v>
      </c>
      <c r="S12" s="113"/>
      <c r="T12" s="44"/>
      <c r="U12" s="113"/>
      <c r="V12" s="212">
        <v>6</v>
      </c>
      <c r="W12" s="310">
        <f t="shared" si="0"/>
        <v>0</v>
      </c>
      <c r="X12" s="311" t="str">
        <f t="shared" si="5"/>
        <v/>
      </c>
      <c r="Y12" s="237" t="str">
        <f t="shared" si="6"/>
        <v/>
      </c>
      <c r="Z12" s="312" t="str">
        <f t="shared" si="7"/>
        <v/>
      </c>
      <c r="AA12" s="348">
        <f t="shared" si="1"/>
        <v>0</v>
      </c>
      <c r="AB12" s="336">
        <f t="shared" si="2"/>
        <v>1.0007199999999998</v>
      </c>
      <c r="AC12" s="316">
        <f>IF(W12="","",SMALL(AB$7:AB$12,ROWS(AF$7:AF12)))</f>
        <v>1.0007199999999998</v>
      </c>
      <c r="AD12" s="325">
        <f t="shared" si="8"/>
        <v>1</v>
      </c>
      <c r="AE12" s="456">
        <f t="shared" si="3"/>
        <v>0</v>
      </c>
      <c r="AF12" s="457">
        <f t="shared" si="4"/>
        <v>0</v>
      </c>
      <c r="AG12" s="301"/>
      <c r="AH12" s="257" t="s">
        <v>116</v>
      </c>
      <c r="AI12" s="734">
        <v>2</v>
      </c>
      <c r="AJ12" s="244" t="s">
        <v>246</v>
      </c>
      <c r="AK12" s="734">
        <f t="shared" ref="AK12" si="9">SUM(AI12:AJ12)</f>
        <v>2</v>
      </c>
    </row>
    <row r="13" spans="1:39" ht="30" customHeight="1" thickBot="1">
      <c r="A13" s="161"/>
      <c r="B13" s="161"/>
      <c r="C13" s="161"/>
      <c r="D13" s="161"/>
      <c r="E13" s="161"/>
      <c r="L13" s="524">
        <v>4</v>
      </c>
      <c r="M13" s="627" t="str">
        <f>IF(J9=J10,"Perdant du 2",IF(J9&lt;J10,H9,H10))</f>
        <v>Perdant du 2</v>
      </c>
      <c r="N13" s="178">
        <f>IF(O12=O13,0,IF(O12&gt;O13,0,1))</f>
        <v>0</v>
      </c>
      <c r="O13" s="632"/>
      <c r="P13" s="44"/>
      <c r="Q13" s="522" t="s">
        <v>2</v>
      </c>
      <c r="R13" s="528" t="str">
        <f>IF(O14=O15,"Gagnant du 2",IF(O14&gt;O15,M14,M15))</f>
        <v>Perdant du 3</v>
      </c>
      <c r="S13" s="177">
        <f>IF(T13=T14,0,IF(T13&lt;T14,0,1))</f>
        <v>0</v>
      </c>
      <c r="T13" s="631"/>
      <c r="U13" s="61"/>
      <c r="V13" s="161"/>
      <c r="W13" s="161"/>
      <c r="X13" s="161">
        <f>SUM(X7:X12)</f>
        <v>0</v>
      </c>
      <c r="Y13" s="161">
        <f>SUM(Y7:Y12)</f>
        <v>0</v>
      </c>
      <c r="Z13" s="161">
        <f>SUM(Z7:Z12)</f>
        <v>0</v>
      </c>
      <c r="AA13" s="161">
        <f>SUM(AA7:AA12)</f>
        <v>0</v>
      </c>
      <c r="AB13" s="161"/>
      <c r="AC13" s="161"/>
      <c r="AD13" s="161"/>
      <c r="AE13" s="161"/>
      <c r="AF13" s="161"/>
      <c r="AG13" s="161"/>
      <c r="AH13"/>
      <c r="AI13"/>
      <c r="AJ13"/>
      <c r="AK13"/>
    </row>
    <row r="14" spans="1:39" ht="30" customHeight="1" thickBot="1">
      <c r="A14" s="161"/>
      <c r="B14" s="161"/>
      <c r="C14" s="161"/>
      <c r="D14" s="161"/>
      <c r="E14" s="161"/>
      <c r="H14" s="144" t="s">
        <v>232</v>
      </c>
      <c r="L14" s="536" t="s">
        <v>2</v>
      </c>
      <c r="M14" s="521" t="str">
        <f>IF(J11=J12,"Perdant du 3",IF(J11&lt;J12,H11,H12))</f>
        <v>Perdant du 3</v>
      </c>
      <c r="N14" s="216">
        <v>0.5</v>
      </c>
      <c r="O14" s="121">
        <v>1</v>
      </c>
      <c r="P14" s="44"/>
      <c r="Q14" s="524">
        <v>5</v>
      </c>
      <c r="R14" s="627" t="str">
        <f>IF(O12=O13,"Gagnant du 4",IF(O12&gt;O13,M12,M13))</f>
        <v>Gagnant du 4</v>
      </c>
      <c r="S14" s="443">
        <f>IF(T13=T14,0,IF(T13&gt;T14,0,1))</f>
        <v>0</v>
      </c>
      <c r="T14" s="632"/>
      <c r="U14" s="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9" ht="30" customHeight="1" thickBot="1">
      <c r="A15" s="161"/>
      <c r="B15" s="161"/>
      <c r="C15" s="161"/>
      <c r="D15" s="161"/>
      <c r="E15" s="161"/>
      <c r="F15" s="44"/>
      <c r="G15" s="161"/>
      <c r="H15" s="161"/>
      <c r="I15" s="161"/>
      <c r="J15" s="161"/>
      <c r="K15" s="161"/>
      <c r="L15" s="282">
        <v>2</v>
      </c>
      <c r="M15" s="118" t="s">
        <v>105</v>
      </c>
      <c r="N15" s="217">
        <v>0</v>
      </c>
      <c r="O15" s="752"/>
      <c r="P15" s="44"/>
      <c r="Q15" s="161"/>
      <c r="R15" s="161"/>
      <c r="S15" s="161"/>
      <c r="T15" s="161"/>
      <c r="U15" s="197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9" ht="30" customHeight="1" thickBot="1">
      <c r="A16" s="161"/>
      <c r="B16" s="763" t="s">
        <v>136</v>
      </c>
      <c r="C16" s="764"/>
      <c r="D16" s="44"/>
      <c r="E16" s="44"/>
      <c r="F16" s="44"/>
      <c r="G16" s="161"/>
      <c r="K16" s="161"/>
      <c r="L16" s="161"/>
      <c r="M16" s="44"/>
      <c r="N16" s="161"/>
      <c r="O16" s="161"/>
      <c r="P16" s="161"/>
      <c r="Q16" s="161"/>
      <c r="R16" s="44"/>
      <c r="W16" s="61"/>
      <c r="X16" s="61"/>
      <c r="Y16" s="61"/>
      <c r="Z16" s="61"/>
      <c r="AA16" s="161"/>
      <c r="AB16" s="161"/>
      <c r="AC16" s="161"/>
      <c r="AD16" s="161"/>
      <c r="AE16" s="161"/>
      <c r="AF16" s="161"/>
      <c r="AG16" s="161"/>
      <c r="AH16" s="48"/>
      <c r="AI16" s="48"/>
      <c r="AJ16" s="48"/>
      <c r="AK16" s="44"/>
      <c r="AL16" s="161"/>
      <c r="AM16" s="161"/>
    </row>
    <row r="17" spans="1:39" s="48" customFormat="1" ht="30" customHeight="1" thickBot="1">
      <c r="A17" s="44"/>
      <c r="B17" s="434" t="s">
        <v>45</v>
      </c>
      <c r="C17" s="44"/>
      <c r="D17" s="44"/>
      <c r="E17" s="44"/>
      <c r="F17" s="44"/>
      <c r="G17" s="44"/>
      <c r="H17" s="44"/>
      <c r="I17" s="135">
        <f>SUM(I7:I12)</f>
        <v>0</v>
      </c>
      <c r="K17" s="135"/>
      <c r="L17" s="135"/>
      <c r="M17" s="274"/>
      <c r="N17" s="131">
        <f>SUM(N6:N15)</f>
        <v>1.5</v>
      </c>
      <c r="O17" s="135"/>
      <c r="P17" s="135"/>
      <c r="Q17" s="135"/>
      <c r="R17" s="134"/>
      <c r="S17" s="135">
        <f>SUM(S7:S14)</f>
        <v>0</v>
      </c>
      <c r="U17" s="134"/>
      <c r="V17" s="131"/>
      <c r="W17" s="135"/>
      <c r="AE17" s="359">
        <f>SUM(I17:S17)</f>
        <v>1.5</v>
      </c>
      <c r="AF17" s="359">
        <f>SUM(AF7:AF12)</f>
        <v>0</v>
      </c>
      <c r="AH17" s="161"/>
      <c r="AI17" s="161"/>
      <c r="AJ17" s="162"/>
      <c r="AK17" s="161"/>
    </row>
    <row r="18" spans="1:39" ht="30" hidden="1" customHeight="1">
      <c r="A18" s="44"/>
      <c r="B18" s="44"/>
      <c r="C18" s="44" t="s">
        <v>41</v>
      </c>
      <c r="D18" s="44"/>
      <c r="E18" s="161"/>
      <c r="F18" s="44"/>
      <c r="G18" s="47"/>
      <c r="H18" s="44"/>
      <c r="I18" s="44"/>
      <c r="K18" s="44"/>
      <c r="L18" s="44"/>
      <c r="M18" s="44"/>
      <c r="N18" s="44"/>
      <c r="O18" s="161"/>
      <c r="P18" s="44"/>
      <c r="Q18" s="162"/>
      <c r="R18" s="44"/>
      <c r="S18" s="161"/>
      <c r="U18" s="44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61"/>
      <c r="AI18" s="161"/>
      <c r="AJ18" s="161"/>
      <c r="AK18" s="162"/>
      <c r="AL18" s="161"/>
      <c r="AM18" s="161"/>
    </row>
    <row r="19" spans="1:39" ht="30" hidden="1" customHeight="1">
      <c r="A19" s="44"/>
      <c r="B19" s="144" t="s">
        <v>42</v>
      </c>
      <c r="C19" s="214" t="s">
        <v>101</v>
      </c>
      <c r="D19" s="44"/>
      <c r="E19" s="161"/>
      <c r="F19" s="44"/>
      <c r="G19" s="44"/>
      <c r="H19" s="47"/>
      <c r="I19" s="44"/>
      <c r="K19" s="44"/>
      <c r="L19" s="44"/>
      <c r="M19" s="44"/>
      <c r="N19" s="161"/>
      <c r="O19" s="161"/>
      <c r="P19" s="161"/>
      <c r="Q19" s="161"/>
      <c r="R19" s="44"/>
      <c r="S19" s="161"/>
      <c r="U19" s="44"/>
      <c r="V19" s="113"/>
      <c r="W19" s="181"/>
      <c r="X19" s="181"/>
      <c r="Y19" s="181"/>
      <c r="Z19" s="181"/>
      <c r="AA19" s="113"/>
      <c r="AB19" s="113"/>
      <c r="AC19" s="113"/>
      <c r="AD19" s="113"/>
      <c r="AE19" s="113"/>
      <c r="AF19" s="113"/>
      <c r="AG19" s="113"/>
      <c r="AH19" s="161"/>
      <c r="AI19" s="161"/>
      <c r="AJ19" s="161"/>
      <c r="AK19" s="161"/>
      <c r="AL19" s="162"/>
      <c r="AM19" s="162"/>
    </row>
    <row r="20" spans="1:39" ht="30" hidden="1" customHeight="1">
      <c r="A20" s="161"/>
      <c r="B20" s="145" t="s">
        <v>43</v>
      </c>
      <c r="C20" s="214" t="s">
        <v>102</v>
      </c>
      <c r="D20" s="41"/>
      <c r="F20" s="161"/>
      <c r="G20" s="161"/>
      <c r="H20" s="44"/>
      <c r="I20" s="161"/>
      <c r="K20" s="47"/>
      <c r="L20" s="162"/>
      <c r="M20" s="44"/>
      <c r="N20" s="161"/>
      <c r="O20" s="161"/>
      <c r="P20" s="161"/>
      <c r="Q20" s="161"/>
      <c r="R20" s="44"/>
      <c r="S20" s="161"/>
      <c r="U20" s="44"/>
      <c r="V20" s="181"/>
      <c r="W20" s="197"/>
      <c r="X20" s="197"/>
      <c r="Y20" s="197"/>
      <c r="Z20" s="197"/>
      <c r="AA20" s="113"/>
      <c r="AB20" s="113"/>
      <c r="AC20" s="113"/>
      <c r="AD20" s="113"/>
      <c r="AE20" s="113"/>
      <c r="AF20" s="113"/>
      <c r="AG20" s="113"/>
      <c r="AI20" s="161"/>
      <c r="AJ20" s="161"/>
      <c r="AK20" s="161"/>
      <c r="AL20" s="161"/>
      <c r="AM20" s="161"/>
    </row>
    <row r="21" spans="1:39" ht="30" customHeight="1">
      <c r="F21" s="161"/>
      <c r="G21" s="161"/>
      <c r="H21" s="161"/>
      <c r="I21" s="44"/>
      <c r="K21" s="161"/>
      <c r="L21" s="44"/>
      <c r="M21" s="44"/>
      <c r="N21" s="161"/>
      <c r="O21" s="161"/>
      <c r="P21" s="161"/>
      <c r="Q21" s="161"/>
      <c r="R21" s="44"/>
      <c r="S21" s="161"/>
      <c r="U21" s="161"/>
      <c r="V21" s="197"/>
      <c r="W21" s="197"/>
      <c r="X21" s="197"/>
      <c r="Y21" s="197"/>
      <c r="Z21" s="197"/>
      <c r="AH21" s="44"/>
      <c r="AI21" s="44"/>
      <c r="AJ21" s="44"/>
      <c r="AK21" s="44"/>
      <c r="AL21" s="161"/>
      <c r="AM21" s="161"/>
    </row>
    <row r="22" spans="1:39" s="44" customFormat="1" ht="30" customHeight="1">
      <c r="I22" s="44">
        <v>18</v>
      </c>
      <c r="N22" s="44">
        <v>4.5</v>
      </c>
      <c r="S22" s="44">
        <v>3</v>
      </c>
      <c r="V22" s="113"/>
      <c r="W22" s="113"/>
      <c r="X22" s="113"/>
      <c r="Y22" s="113"/>
      <c r="Z22" s="113"/>
      <c r="AE22" s="44">
        <f>SUM(I22:S22)</f>
        <v>25.5</v>
      </c>
      <c r="AF22" s="44">
        <v>25.5</v>
      </c>
      <c r="AH22" s="45"/>
      <c r="AI22" s="45"/>
      <c r="AJ22" s="45"/>
      <c r="AK22" s="45"/>
    </row>
    <row r="23" spans="1:39" ht="30" customHeight="1">
      <c r="S23" s="161"/>
      <c r="U23" s="161"/>
      <c r="V23" s="197"/>
    </row>
    <row r="26" spans="1:39">
      <c r="R26"/>
    </row>
    <row r="31" spans="1:39" ht="18.75">
      <c r="B31" s="44"/>
      <c r="C31" s="44" t="s">
        <v>41</v>
      </c>
      <c r="D31" s="44"/>
      <c r="E31" s="161"/>
    </row>
    <row r="32" spans="1:39" ht="18.75">
      <c r="B32" s="144" t="s">
        <v>42</v>
      </c>
      <c r="C32" s="214" t="s">
        <v>101</v>
      </c>
      <c r="D32" s="44"/>
      <c r="E32" s="161"/>
    </row>
    <row r="33" spans="2:5" ht="18.75">
      <c r="B33" s="145" t="s">
        <v>43</v>
      </c>
      <c r="C33" s="214" t="s">
        <v>102</v>
      </c>
      <c r="D33" s="41"/>
      <c r="E33" s="161"/>
    </row>
  </sheetData>
  <sheetProtection formatCells="0" formatColumns="0" formatRows="0" insertColumns="0" insertRows="0" insertHyperlinks="0" deleteColumns="0" deleteRows="0" sort="0"/>
  <mergeCells count="3">
    <mergeCell ref="B16:C16"/>
    <mergeCell ref="AE5:AF5"/>
    <mergeCell ref="AI5:AK5"/>
  </mergeCells>
  <conditionalFormatting sqref="AD7">
    <cfRule type="duplicateValues" dxfId="19" priority="4"/>
  </conditionalFormatting>
  <conditionalFormatting sqref="AD8:AD12">
    <cfRule type="duplicateValues" dxfId="18" priority="3"/>
  </conditionalFormatting>
  <conditionalFormatting sqref="AD7:AD12">
    <cfRule type="duplicateValues" dxfId="17" priority="2"/>
  </conditionalFormatting>
  <pageMargins left="0.15748031496062992" right="0.15748031496062992" top="0.19685039370078741" bottom="0.5" header="0.11811023622047245" footer="0.23622047244094491"/>
  <pageSetup orientation="landscape" horizontalDpi="4294967292" verticalDpi="300" r:id="rId1"/>
  <headerFooter>
    <oddFooter>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AL34"/>
  <sheetViews>
    <sheetView zoomScale="60" zoomScaleNormal="60" workbookViewId="0">
      <selection activeCell="T16" sqref="T16:T17"/>
    </sheetView>
  </sheetViews>
  <sheetFormatPr baseColWidth="10" defaultRowHeight="15"/>
  <cols>
    <col min="1" max="1" width="7.5703125" style="161" customWidth="1"/>
    <col min="2" max="2" width="27.7109375" style="161" customWidth="1"/>
    <col min="3" max="3" width="26.28515625" style="161" customWidth="1"/>
    <col min="4" max="4" width="14.28515625" style="161" customWidth="1"/>
    <col min="5" max="5" width="8.85546875" style="161" customWidth="1"/>
    <col min="6" max="6" width="8" style="161" customWidth="1"/>
    <col min="7" max="7" width="7.140625" style="161" hidden="1" customWidth="1"/>
    <col min="8" max="8" width="24.5703125" style="161" customWidth="1"/>
    <col min="9" max="9" width="13.5703125" style="161" hidden="1" customWidth="1"/>
    <col min="10" max="10" width="9.7109375" style="161" customWidth="1"/>
    <col min="11" max="11" width="5.7109375" style="161" customWidth="1"/>
    <col min="12" max="12" width="9" style="161" customWidth="1"/>
    <col min="13" max="13" width="29" style="161" customWidth="1"/>
    <col min="14" max="14" width="12.85546875" style="161" hidden="1" customWidth="1"/>
    <col min="15" max="15" width="8.7109375" style="161" customWidth="1"/>
    <col min="16" max="16" width="9.28515625" style="161" customWidth="1"/>
    <col min="17" max="17" width="7.5703125" style="161" customWidth="1"/>
    <col min="18" max="18" width="28.5703125" style="161" customWidth="1"/>
    <col min="19" max="19" width="9.42578125" style="161" hidden="1" customWidth="1"/>
    <col min="20" max="20" width="8.85546875" style="161" customWidth="1"/>
    <col min="21" max="21" width="10.85546875" style="161" customWidth="1"/>
    <col min="22" max="22" width="6.5703125" style="161" hidden="1" customWidth="1"/>
    <col min="23" max="23" width="27.42578125" style="161" hidden="1" customWidth="1"/>
    <col min="24" max="24" width="10" style="161" hidden="1" customWidth="1"/>
    <col min="25" max="25" width="9.42578125" style="161" hidden="1" customWidth="1"/>
    <col min="26" max="26" width="9.85546875" style="161" hidden="1" customWidth="1"/>
    <col min="27" max="27" width="13.7109375" style="161" hidden="1" customWidth="1"/>
    <col min="28" max="28" width="12.42578125" style="161" hidden="1" customWidth="1"/>
    <col min="29" max="29" width="13.140625" style="161" hidden="1" customWidth="1"/>
    <col min="30" max="30" width="10.7109375" style="161" customWidth="1"/>
    <col min="31" max="31" width="26.5703125" style="161" customWidth="1"/>
    <col min="32" max="32" width="14" style="161" customWidth="1"/>
    <col min="33" max="33" width="8.5703125" style="161" customWidth="1"/>
    <col min="34" max="34" width="22" style="161" customWidth="1"/>
    <col min="35" max="35" width="11.42578125" style="161" customWidth="1"/>
    <col min="36" max="36" width="39.140625" style="161" customWidth="1"/>
    <col min="37" max="37" width="21.42578125" style="161" customWidth="1"/>
    <col min="38" max="38" width="12.140625" style="161" customWidth="1"/>
    <col min="39" max="16384" width="11.42578125" style="161"/>
  </cols>
  <sheetData>
    <row r="1" spans="1:37" s="415" customFormat="1" ht="39" customHeight="1" thickBot="1">
      <c r="A1" s="411"/>
      <c r="B1" s="411"/>
      <c r="C1" s="411"/>
      <c r="D1" s="412" t="s">
        <v>0</v>
      </c>
      <c r="E1" s="411"/>
      <c r="F1" s="412"/>
      <c r="G1" s="412"/>
      <c r="H1" s="412"/>
      <c r="I1" s="412"/>
      <c r="J1" s="412"/>
      <c r="K1" s="412"/>
      <c r="L1" s="412"/>
      <c r="M1" s="412"/>
      <c r="N1" s="412"/>
      <c r="O1" s="413"/>
      <c r="P1" s="412"/>
      <c r="Q1" s="412"/>
      <c r="R1" s="412" t="s">
        <v>138</v>
      </c>
      <c r="S1" s="412"/>
      <c r="T1" s="412"/>
      <c r="U1" s="412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</row>
    <row r="2" spans="1:37" ht="30" customHeight="1" thickBot="1">
      <c r="A2" s="44"/>
      <c r="B2" s="357" t="s">
        <v>47</v>
      </c>
      <c r="C2" s="406"/>
      <c r="D2" s="44"/>
      <c r="E2" s="43" t="s">
        <v>44</v>
      </c>
      <c r="F2" s="43"/>
      <c r="G2" s="43"/>
      <c r="H2" s="43"/>
      <c r="I2" s="43"/>
      <c r="J2" s="43"/>
      <c r="K2" s="43" t="s">
        <v>22</v>
      </c>
      <c r="L2" s="43"/>
      <c r="M2" s="44"/>
      <c r="N2" s="44"/>
      <c r="O2" s="113"/>
      <c r="P2" s="44"/>
      <c r="Q2" s="44"/>
      <c r="R2" s="44"/>
      <c r="S2" s="44"/>
      <c r="T2" s="44"/>
      <c r="U2" s="44"/>
      <c r="V2" s="113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7" ht="30" customHeight="1">
      <c r="A3" s="44"/>
      <c r="B3" s="44"/>
      <c r="C3" s="44"/>
      <c r="D3" s="44"/>
      <c r="E3" s="44"/>
      <c r="F3" s="44"/>
      <c r="G3" s="44"/>
      <c r="H3" s="46" t="s">
        <v>3</v>
      </c>
      <c r="I3" s="46"/>
      <c r="J3" s="46"/>
      <c r="K3" s="46"/>
      <c r="L3" s="46"/>
      <c r="M3" s="46" t="s">
        <v>229</v>
      </c>
      <c r="N3" s="46"/>
      <c r="O3" s="44"/>
      <c r="P3" s="44"/>
      <c r="Q3" s="44"/>
      <c r="R3" s="46" t="s">
        <v>230</v>
      </c>
      <c r="X3" s="140"/>
      <c r="Y3" s="140"/>
      <c r="Z3" s="140"/>
      <c r="AA3" s="140"/>
      <c r="AB3" s="140"/>
      <c r="AC3" s="140"/>
      <c r="AD3" s="140"/>
      <c r="AE3"/>
      <c r="AF3"/>
    </row>
    <row r="4" spans="1:37" ht="30" customHeight="1" thickBot="1">
      <c r="A4" s="44"/>
      <c r="B4" s="44"/>
      <c r="C4" s="44"/>
      <c r="D4" s="44"/>
      <c r="E4" s="44"/>
      <c r="F4" s="44"/>
      <c r="G4" s="44"/>
      <c r="H4" s="46"/>
      <c r="I4" s="46"/>
      <c r="J4" s="46"/>
      <c r="K4" s="44"/>
      <c r="L4" s="46"/>
      <c r="M4" s="46"/>
      <c r="N4" s="140"/>
      <c r="O4" s="46"/>
      <c r="P4" s="44"/>
      <c r="Q4" s="46"/>
      <c r="R4" s="46"/>
      <c r="S4" s="46"/>
      <c r="T4" s="44"/>
      <c r="U4" s="113"/>
      <c r="V4" s="113"/>
      <c r="W4" s="113"/>
      <c r="X4" s="61"/>
      <c r="Y4" s="61"/>
      <c r="Z4" s="61"/>
      <c r="AA4" s="61"/>
      <c r="AB4" s="113"/>
      <c r="AC4" s="113"/>
      <c r="AD4" s="113"/>
      <c r="AE4" s="113"/>
      <c r="AF4" s="113"/>
    </row>
    <row r="5" spans="1:37" ht="30" customHeight="1" thickBot="1">
      <c r="A5" s="44"/>
      <c r="B5" s="44"/>
      <c r="C5" s="44"/>
      <c r="D5" s="44"/>
      <c r="E5" s="44"/>
      <c r="F5" s="44"/>
      <c r="G5" s="44"/>
      <c r="H5" s="46"/>
      <c r="I5" s="46"/>
      <c r="J5" s="46"/>
      <c r="K5" s="44"/>
      <c r="L5" s="44"/>
      <c r="M5" s="44" t="s">
        <v>6</v>
      </c>
      <c r="N5" s="113" t="s">
        <v>108</v>
      </c>
      <c r="O5" s="44" t="s">
        <v>107</v>
      </c>
      <c r="P5" s="44"/>
      <c r="Q5" s="44"/>
      <c r="R5" s="44" t="s">
        <v>49</v>
      </c>
      <c r="S5" s="44" t="s">
        <v>108</v>
      </c>
      <c r="T5" s="44" t="s">
        <v>107</v>
      </c>
      <c r="U5" s="113"/>
      <c r="V5" s="113"/>
      <c r="W5" s="267"/>
      <c r="X5" s="246"/>
      <c r="Y5" s="246"/>
      <c r="Z5" s="246"/>
      <c r="AA5" s="246"/>
      <c r="AB5" s="344"/>
      <c r="AC5" s="344"/>
      <c r="AD5" s="141"/>
      <c r="AE5" s="766" t="s">
        <v>129</v>
      </c>
      <c r="AF5" s="767"/>
      <c r="AI5" s="772" t="s">
        <v>113</v>
      </c>
      <c r="AJ5" s="773"/>
      <c r="AK5" s="774"/>
    </row>
    <row r="6" spans="1:37" ht="30" customHeight="1" thickBot="1">
      <c r="A6" s="190"/>
      <c r="B6" s="302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4" t="s">
        <v>108</v>
      </c>
      <c r="J6" s="44" t="s">
        <v>107</v>
      </c>
      <c r="K6" s="44"/>
      <c r="L6" s="570" t="s">
        <v>2</v>
      </c>
      <c r="M6" s="519" t="str">
        <f>IF(J7=J8,"Gagnant du 1",IF(J7&gt;J8,H7,H8))</f>
        <v>Gagnant du 1</v>
      </c>
      <c r="N6" s="177">
        <f>IF(O6=O7,0,IF(O6&lt;O7,0,2))</f>
        <v>0</v>
      </c>
      <c r="O6" s="576"/>
      <c r="P6" s="44"/>
      <c r="Q6" s="570" t="s">
        <v>2</v>
      </c>
      <c r="R6" s="528" t="str">
        <f>IF(O6=O7,"Gagnant du 3",IF(O6&gt;O7,M6,M7))</f>
        <v>Gagnant du 3</v>
      </c>
      <c r="S6" s="177">
        <f>IF(T6=T7,0,IF(T6&lt;T7,0,2))</f>
        <v>2</v>
      </c>
      <c r="T6" s="576">
        <v>1</v>
      </c>
      <c r="U6" s="61"/>
      <c r="V6" s="113"/>
      <c r="W6" s="213" t="s">
        <v>111</v>
      </c>
      <c r="X6" s="304" t="s">
        <v>189</v>
      </c>
      <c r="Y6" s="304" t="s">
        <v>190</v>
      </c>
      <c r="Z6" s="304" t="s">
        <v>191</v>
      </c>
      <c r="AA6" s="305" t="s">
        <v>193</v>
      </c>
      <c r="AB6" s="113" t="s">
        <v>109</v>
      </c>
      <c r="AC6" s="113" t="s">
        <v>110</v>
      </c>
      <c r="AD6" s="433" t="s">
        <v>238</v>
      </c>
      <c r="AE6" s="366" t="s">
        <v>111</v>
      </c>
      <c r="AF6" s="365" t="s">
        <v>192</v>
      </c>
      <c r="AH6" s="238" t="s">
        <v>12</v>
      </c>
      <c r="AI6" s="112" t="s">
        <v>56</v>
      </c>
      <c r="AJ6" s="239" t="s">
        <v>241</v>
      </c>
      <c r="AK6" s="239" t="s">
        <v>16</v>
      </c>
    </row>
    <row r="7" spans="1:37" ht="30" customHeight="1" thickBot="1">
      <c r="A7" s="87">
        <v>1</v>
      </c>
      <c r="B7" s="555"/>
      <c r="C7" s="556"/>
      <c r="D7" s="89"/>
      <c r="E7" s="44"/>
      <c r="F7" s="573" t="s">
        <v>2</v>
      </c>
      <c r="G7" s="481">
        <v>1</v>
      </c>
      <c r="H7" s="182" t="str">
        <f>IF(ISNA(MATCH(G7,$D$7:$D$14,0)),"",INDEX(B$7:$B$14,MATCH(G7,$D$7:$D$14,0)))</f>
        <v/>
      </c>
      <c r="I7" s="126">
        <f>IF(J7=J8,0,IF(J7&lt;J8,2,4))</f>
        <v>0</v>
      </c>
      <c r="J7" s="576"/>
      <c r="K7" s="47"/>
      <c r="L7" s="571">
        <v>3</v>
      </c>
      <c r="M7" s="520" t="str">
        <f>IF(J9=J10,"Gagnant du 2",IF(J9&gt;J10,H9,H10))</f>
        <v>Gagnant du 2</v>
      </c>
      <c r="N7" s="130">
        <f>IF(O6=O7,0,IF(O6&gt;O7,0,2))</f>
        <v>0</v>
      </c>
      <c r="O7" s="577"/>
      <c r="P7" s="47"/>
      <c r="Q7" s="571">
        <v>6</v>
      </c>
      <c r="R7" s="520" t="str">
        <f>IF(O8=O9,"Gagnant du 5",IF(O8&gt;O9,M8,M9))</f>
        <v>Gagnant du 5</v>
      </c>
      <c r="S7" s="130">
        <f>IF(T6=T7,0,IF(T6&gt;T7,0,2))</f>
        <v>0</v>
      </c>
      <c r="T7" s="577">
        <v>0</v>
      </c>
      <c r="U7" s="61"/>
      <c r="V7" s="136">
        <v>1</v>
      </c>
      <c r="W7" s="306">
        <f>+B7</f>
        <v>0</v>
      </c>
      <c r="X7" s="307" t="str">
        <f>IF(ISNA(VLOOKUP(W7,$H$7:$I$14,2,0)),"",VLOOKUP(W7,$H$7:$J$14,2,0))</f>
        <v/>
      </c>
      <c r="Y7" s="211" t="str">
        <f t="shared" ref="Y7:Y13" si="0">IF(ISNA(VLOOKUP(W7,$M$6:$N$16,2,0)),"",VLOOKUP(W7,$M$6:$N$16,2,0))</f>
        <v/>
      </c>
      <c r="Z7" s="296" t="str">
        <f>IF(ISNA(VLOOKUP(W7,$R$6:$S$17,3,0)),"",VLOOKUP(W7,$R$6:$S$17,2,0))</f>
        <v/>
      </c>
      <c r="AA7" s="403">
        <f t="shared" ref="AA7:AA12" si="1">SUM(X7:Z7)</f>
        <v>0</v>
      </c>
      <c r="AB7" s="354">
        <f>IF(OR(W7="",AA7=""),"",RANK(AA7,$AA$7:$AA$14)+COUNTIF(W$7:W$14,"&lt;="&amp;W7+1)/10000+ROW()/100000)</f>
        <v>1.0007699999999999</v>
      </c>
      <c r="AC7" s="314">
        <f>IF(W7="","",SMALL(AB$7:AB$14,ROWS(AF7:AF$7)))</f>
        <v>1.00014</v>
      </c>
      <c r="AD7" s="323">
        <f>IF(AC7="","",1)</f>
        <v>1</v>
      </c>
      <c r="AE7" s="452" t="str">
        <f>IF(OR(W7="",AA7=""),"",INDEX($W$7:$W$14,MATCH(AC7,$AB$7:$AB$14,0)))</f>
        <v>OFFICE</v>
      </c>
      <c r="AF7" s="452">
        <f>IF(W7="","",INDEX($AA$7:$AA$14,MATCH(AC7,$AB$7:$AB$14,0)))</f>
        <v>0</v>
      </c>
      <c r="AH7" s="570" t="s">
        <v>115</v>
      </c>
      <c r="AI7" s="491">
        <v>2</v>
      </c>
      <c r="AJ7" s="241" t="s">
        <v>243</v>
      </c>
      <c r="AK7" s="727" t="s">
        <v>311</v>
      </c>
    </row>
    <row r="8" spans="1:37" ht="30" customHeight="1" thickBot="1">
      <c r="A8" s="94">
        <v>2</v>
      </c>
      <c r="B8" s="557"/>
      <c r="C8" s="558"/>
      <c r="D8" s="96"/>
      <c r="E8" s="44"/>
      <c r="F8" s="574">
        <v>1</v>
      </c>
      <c r="G8" s="482">
        <v>2</v>
      </c>
      <c r="H8" s="183" t="str">
        <f>IF(ISNA(MATCH(G8,$D$7:$D$14,0)),"",INDEX(B$7:$B$14,MATCH(G8,$D$7:$D$14,0)))</f>
        <v/>
      </c>
      <c r="I8" s="130">
        <f>IF(J7=J8,0,IF(J7&gt;J8,2,4))</f>
        <v>0</v>
      </c>
      <c r="J8" s="577"/>
      <c r="K8" s="44"/>
      <c r="L8" s="570" t="s">
        <v>2</v>
      </c>
      <c r="M8" s="528" t="str">
        <f>IF(J11=J12,"Gagnant du 3",IF(J11&gt;J12,H11,H12))</f>
        <v>Gagnant du 3</v>
      </c>
      <c r="N8" s="172">
        <f>IF(O8=O9,0,IF(O8&lt;O9,0,2))</f>
        <v>0</v>
      </c>
      <c r="O8" s="576"/>
      <c r="P8" s="44"/>
      <c r="R8" s="655"/>
      <c r="S8" s="192"/>
      <c r="U8" s="197"/>
      <c r="V8" s="137">
        <v>2</v>
      </c>
      <c r="W8" s="308">
        <f>+B8</f>
        <v>0</v>
      </c>
      <c r="X8" s="332" t="str">
        <f>IF(ISNA(VLOOKUP(W8,$H$7:$I$14,2,0)),"",VLOOKUP(W8,$H$7:$J$14,2,0))</f>
        <v/>
      </c>
      <c r="Y8" s="210" t="str">
        <f t="shared" si="0"/>
        <v/>
      </c>
      <c r="Z8" s="350" t="str">
        <f>IF(ISNA(VLOOKUP(W8,$R$6:$S$17,3,0)),"",VLOOKUP(W8,$R$6:$S$17,2,0))</f>
        <v/>
      </c>
      <c r="AA8" s="404">
        <f t="shared" si="1"/>
        <v>0</v>
      </c>
      <c r="AB8" s="299">
        <f t="shared" ref="AB8:AB14" si="2">IF(OR(W8="",AA8=""),"",RANK(AA8,$AA$7:$AA$14)+COUNTIF(W$7:W$14,"&lt;="&amp;W8+1)/10000+ROW()/100000)</f>
        <v>1.00078</v>
      </c>
      <c r="AC8" s="315">
        <f>IF(W8="","",SMALL(AB$7:AB$14,ROWS(AF$7:AF8)))</f>
        <v>1.0007699999999999</v>
      </c>
      <c r="AD8" s="324">
        <f>IF(AC8="","",IF(AND(AF7=AF8),AD7,$AD$7+1))</f>
        <v>1</v>
      </c>
      <c r="AE8" s="453">
        <f t="shared" ref="AE8:AE14" si="3">IF(OR(W8="",AA8=""),"",INDEX($W$7:$W$14,MATCH(AC8,$AB$7:$AB$14,0)))</f>
        <v>0</v>
      </c>
      <c r="AF8" s="453">
        <f t="shared" ref="AF8:AF14" si="4">IF(W8="","",INDEX($AA$7:$AA$14,MATCH(AC8,$AB$7:$AB$14,0)))</f>
        <v>0</v>
      </c>
      <c r="AH8" s="580" t="s">
        <v>15</v>
      </c>
      <c r="AI8" s="492">
        <v>2</v>
      </c>
      <c r="AJ8" s="247" t="s">
        <v>244</v>
      </c>
      <c r="AK8" s="729" t="s">
        <v>316</v>
      </c>
    </row>
    <row r="9" spans="1:37" ht="30" customHeight="1" thickBot="1">
      <c r="A9" s="94">
        <v>3</v>
      </c>
      <c r="B9" s="559"/>
      <c r="C9" s="560"/>
      <c r="D9" s="96"/>
      <c r="E9" s="44"/>
      <c r="F9" s="573" t="s">
        <v>2</v>
      </c>
      <c r="G9" s="481">
        <v>3</v>
      </c>
      <c r="H9" s="184" t="str">
        <f>IF(ISNA(MATCH(G9,$D$7:$D$14,0)),"",INDEX(B$7:$B$14,MATCH(G9,$D$7:$D$14,0)))</f>
        <v/>
      </c>
      <c r="I9" s="126">
        <f>IF(J9=J10,0,IF(J9&lt;J10,2,4))</f>
        <v>0</v>
      </c>
      <c r="J9" s="578"/>
      <c r="K9" s="44"/>
      <c r="L9" s="571">
        <v>5</v>
      </c>
      <c r="M9" s="534" t="str">
        <f>IF(J13=J14,"Gagnant du 4",IF(J13&gt;J14,H13,H14))</f>
        <v/>
      </c>
      <c r="N9" s="130">
        <f>IF(O8=O9,0,IF(O8&gt;O9,0,2))</f>
        <v>0</v>
      </c>
      <c r="O9" s="577"/>
      <c r="P9" s="44"/>
      <c r="Q9" s="44"/>
      <c r="R9" s="131"/>
      <c r="S9" s="131"/>
      <c r="T9" s="44"/>
      <c r="U9" s="113"/>
      <c r="V9" s="137">
        <v>3</v>
      </c>
      <c r="W9" s="308">
        <f t="shared" ref="W9:W14" si="5">+B9</f>
        <v>0</v>
      </c>
      <c r="X9" s="332" t="str">
        <f t="shared" ref="X9:X14" si="6">IF(ISNA(VLOOKUP(W9,$H$7:$I$14,2,0)),"",VLOOKUP(W9,$H$7:$J$14,2,0))</f>
        <v/>
      </c>
      <c r="Y9" s="210" t="str">
        <f t="shared" si="0"/>
        <v/>
      </c>
      <c r="Z9" s="350" t="str">
        <f t="shared" ref="Z9:Z14" si="7">IF(ISNA(VLOOKUP(W9,$R$6:$S$17,3,0)),"",VLOOKUP(W9,$R$6:$S$17,2,0))</f>
        <v/>
      </c>
      <c r="AA9" s="404">
        <f t="shared" si="1"/>
        <v>0</v>
      </c>
      <c r="AB9" s="299">
        <f t="shared" si="2"/>
        <v>1.0007899999999998</v>
      </c>
      <c r="AC9" s="315">
        <f>IF(W9="","",SMALL(AB$7:AB$14,ROWS(AF$7:AF9)))</f>
        <v>1.00078</v>
      </c>
      <c r="AD9" s="324">
        <f>IF(AC9="","",IF(AND(AF8=AF9),AD8,$AD$7+2))</f>
        <v>1</v>
      </c>
      <c r="AE9" s="453">
        <f t="shared" si="3"/>
        <v>0</v>
      </c>
      <c r="AF9" s="453">
        <f t="shared" si="4"/>
        <v>0</v>
      </c>
      <c r="AH9" s="660" t="s">
        <v>118</v>
      </c>
      <c r="AI9" s="491">
        <v>2</v>
      </c>
      <c r="AJ9" s="245" t="s">
        <v>248</v>
      </c>
      <c r="AK9" s="727" t="s">
        <v>321</v>
      </c>
    </row>
    <row r="10" spans="1:37" ht="30" customHeight="1" thickBot="1">
      <c r="A10" s="94">
        <v>4</v>
      </c>
      <c r="B10" s="557"/>
      <c r="C10" s="558"/>
      <c r="D10" s="96"/>
      <c r="E10" s="44"/>
      <c r="F10" s="574">
        <v>2</v>
      </c>
      <c r="G10" s="482">
        <v>4</v>
      </c>
      <c r="H10" s="185" t="str">
        <f>IF(ISNA(MATCH(G10,$D$7:$D$14,0)),"",INDEX(B$7:$B$14,MATCH(G10,$D$7:$D$14,0)))</f>
        <v/>
      </c>
      <c r="I10" s="130">
        <f>IF(J9=J10,0,IF(J9&gt;J10,2,4))</f>
        <v>0</v>
      </c>
      <c r="J10" s="579"/>
      <c r="K10" s="47"/>
      <c r="M10" s="655"/>
      <c r="N10" s="192"/>
      <c r="P10" s="47"/>
      <c r="Q10" s="44"/>
      <c r="R10" s="131" t="s">
        <v>51</v>
      </c>
      <c r="S10" s="131"/>
      <c r="T10" s="44"/>
      <c r="U10" s="113"/>
      <c r="V10" s="137">
        <v>4</v>
      </c>
      <c r="W10" s="308">
        <f t="shared" si="5"/>
        <v>0</v>
      </c>
      <c r="X10" s="332" t="str">
        <f t="shared" si="6"/>
        <v/>
      </c>
      <c r="Y10" s="210" t="str">
        <f t="shared" si="0"/>
        <v/>
      </c>
      <c r="Z10" s="350" t="str">
        <f t="shared" si="7"/>
        <v/>
      </c>
      <c r="AA10" s="404">
        <f t="shared" si="1"/>
        <v>0</v>
      </c>
      <c r="AB10" s="299">
        <f t="shared" si="2"/>
        <v>1.0007999999999999</v>
      </c>
      <c r="AC10" s="315">
        <f>IF(W10="","",SMALL(AB$7:AB$14,ROWS(AF$7:AF10)))</f>
        <v>1.0007899999999998</v>
      </c>
      <c r="AD10" s="324">
        <f>IF(AC10="","",IF(AND(AF9=AF10),AD9,$AD$7+3))</f>
        <v>1</v>
      </c>
      <c r="AE10" s="453">
        <f t="shared" si="3"/>
        <v>0</v>
      </c>
      <c r="AF10" s="453">
        <f t="shared" si="4"/>
        <v>0</v>
      </c>
      <c r="AH10" s="726" t="s">
        <v>20</v>
      </c>
      <c r="AI10" s="493">
        <v>2</v>
      </c>
      <c r="AJ10" s="247" t="s">
        <v>271</v>
      </c>
      <c r="AK10" s="728">
        <v>3</v>
      </c>
    </row>
    <row r="11" spans="1:37" ht="30" customHeight="1">
      <c r="A11" s="94">
        <v>5</v>
      </c>
      <c r="B11" s="559"/>
      <c r="C11" s="560"/>
      <c r="D11" s="96"/>
      <c r="E11" s="44"/>
      <c r="F11" s="573" t="s">
        <v>2</v>
      </c>
      <c r="G11" s="481">
        <v>5</v>
      </c>
      <c r="H11" s="184" t="str">
        <f>IF(ISNA(MATCH(G11,$D$7:$D$14,0)),"",INDEX(B$7:$B$14,MATCH(G11,$D$7:$D$14,0)))</f>
        <v/>
      </c>
      <c r="I11" s="126">
        <f>IF(J11=J12,0,IF(J11&lt;J12,2,4))</f>
        <v>0</v>
      </c>
      <c r="J11" s="576"/>
      <c r="K11" s="44"/>
      <c r="M11" s="655"/>
      <c r="N11" s="192"/>
      <c r="P11" s="44"/>
      <c r="Q11" s="522" t="s">
        <v>2</v>
      </c>
      <c r="R11" s="528" t="str">
        <f>IF(O15=O16,"Gagnant du 2",IF(O15&gt;O16,M15,M16))</f>
        <v>Perdant du 3</v>
      </c>
      <c r="S11" s="177">
        <f>IF(T11=T12,0,IF(T11&lt;T12,0,1))</f>
        <v>0</v>
      </c>
      <c r="T11" s="631">
        <v>1</v>
      </c>
      <c r="U11" s="61"/>
      <c r="V11" s="137">
        <v>5</v>
      </c>
      <c r="W11" s="308">
        <f t="shared" si="5"/>
        <v>0</v>
      </c>
      <c r="X11" s="332" t="str">
        <f t="shared" si="6"/>
        <v/>
      </c>
      <c r="Y11" s="210" t="str">
        <f t="shared" si="0"/>
        <v/>
      </c>
      <c r="Z11" s="350" t="str">
        <f t="shared" si="7"/>
        <v/>
      </c>
      <c r="AA11" s="404">
        <f t="shared" si="1"/>
        <v>0</v>
      </c>
      <c r="AB11" s="299">
        <f t="shared" si="2"/>
        <v>1.00081</v>
      </c>
      <c r="AC11" s="315">
        <f>IF(W11="","",SMALL(AB$7:AB$14,ROWS(AF$7:AF11)))</f>
        <v>1.0007999999999999</v>
      </c>
      <c r="AD11" s="324">
        <f>IF(AC11="","",IF(AND(AF10=AF11),AD10,$AD$7+4))</f>
        <v>1</v>
      </c>
      <c r="AE11" s="453">
        <f t="shared" si="3"/>
        <v>0</v>
      </c>
      <c r="AF11" s="453">
        <f t="shared" si="4"/>
        <v>0</v>
      </c>
      <c r="AH11" s="724" t="s">
        <v>117</v>
      </c>
      <c r="AI11" s="503">
        <v>2</v>
      </c>
      <c r="AJ11" s="245" t="s">
        <v>319</v>
      </c>
      <c r="AK11" s="730" t="s">
        <v>318</v>
      </c>
    </row>
    <row r="12" spans="1:37" ht="30" customHeight="1" thickBot="1">
      <c r="A12" s="94">
        <v>6</v>
      </c>
      <c r="B12" s="557"/>
      <c r="C12" s="558"/>
      <c r="D12" s="96"/>
      <c r="E12" s="44"/>
      <c r="F12" s="574">
        <v>3</v>
      </c>
      <c r="G12" s="482">
        <v>6</v>
      </c>
      <c r="H12" s="185" t="str">
        <f>IF(ISNA(MATCH(G12,$D$7:$D$14,0)),"",INDEX(B$7:$B$14,MATCH(G12,$D$7:$D$14,0)))</f>
        <v/>
      </c>
      <c r="I12" s="130">
        <f>IF(J11=J12,0,IF(J11&gt;J12,2,4))</f>
        <v>0</v>
      </c>
      <c r="J12" s="577"/>
      <c r="K12" s="44"/>
      <c r="L12" s="44"/>
      <c r="M12" s="131" t="s">
        <v>7</v>
      </c>
      <c r="N12" s="167"/>
      <c r="O12" s="195"/>
      <c r="P12" s="44"/>
      <c r="Q12" s="524">
        <v>5</v>
      </c>
      <c r="R12" s="627" t="str">
        <f>IF(O13=O14,"Gagnant du 4",IF(O13&gt;O14,M13,M14))</f>
        <v>Perdant du 1</v>
      </c>
      <c r="S12" s="130">
        <f>IF(T11=T12,0,IF(T11&gt;T12,0,1))</f>
        <v>1</v>
      </c>
      <c r="T12" s="632">
        <v>2</v>
      </c>
      <c r="U12" s="61"/>
      <c r="V12" s="137">
        <v>6</v>
      </c>
      <c r="W12" s="308">
        <f t="shared" si="5"/>
        <v>0</v>
      </c>
      <c r="X12" s="332" t="str">
        <f t="shared" si="6"/>
        <v/>
      </c>
      <c r="Y12" s="210" t="str">
        <f t="shared" si="0"/>
        <v/>
      </c>
      <c r="Z12" s="350" t="str">
        <f t="shared" si="7"/>
        <v/>
      </c>
      <c r="AA12" s="404">
        <f t="shared" si="1"/>
        <v>0</v>
      </c>
      <c r="AB12" s="299">
        <f t="shared" si="2"/>
        <v>1.0008199999999998</v>
      </c>
      <c r="AC12" s="315">
        <f>IF(W12="","",SMALL(AB$7:AB$14,ROWS(AF$7:AF12)))</f>
        <v>1.00081</v>
      </c>
      <c r="AD12" s="324">
        <f>IF(AC12="","",IF(AND(AF11=AF12),AD11,$AD$7+5))</f>
        <v>1</v>
      </c>
      <c r="AE12" s="453">
        <f t="shared" si="3"/>
        <v>0</v>
      </c>
      <c r="AF12" s="453">
        <f t="shared" si="4"/>
        <v>0</v>
      </c>
      <c r="AH12" s="664" t="s">
        <v>18</v>
      </c>
      <c r="AI12" s="497">
        <v>2</v>
      </c>
      <c r="AJ12" s="247" t="s">
        <v>251</v>
      </c>
      <c r="AK12" s="728" t="s">
        <v>320</v>
      </c>
    </row>
    <row r="13" spans="1:37" ht="30" customHeight="1">
      <c r="A13" s="94">
        <v>7</v>
      </c>
      <c r="B13" s="559"/>
      <c r="C13" s="560"/>
      <c r="D13" s="96"/>
      <c r="E13" s="44"/>
      <c r="F13" s="573" t="s">
        <v>2</v>
      </c>
      <c r="G13" s="481">
        <v>7</v>
      </c>
      <c r="H13" s="196" t="str">
        <f>IF(ISNA(MATCH(G13,$D$7:$D$14,0)),"",INDEX(B$7:$B$14,MATCH(G13,$D$7:$D$14,0)))</f>
        <v/>
      </c>
      <c r="I13" s="216">
        <v>3</v>
      </c>
      <c r="J13" s="121">
        <v>1</v>
      </c>
      <c r="K13" s="44"/>
      <c r="L13" s="522" t="s">
        <v>2</v>
      </c>
      <c r="M13" s="528" t="str">
        <f>IF(J7=J8,"Perdant du 1",IF(J7&lt;J8,H7,H8))</f>
        <v>Perdant du 1</v>
      </c>
      <c r="N13" s="177">
        <f>IF(O13=O14,0,IF(O13&lt;O14,0,1))</f>
        <v>1</v>
      </c>
      <c r="O13" s="631">
        <v>1</v>
      </c>
      <c r="P13" s="44"/>
      <c r="R13" s="655"/>
      <c r="S13" s="192"/>
      <c r="U13" s="197"/>
      <c r="V13" s="137">
        <v>7</v>
      </c>
      <c r="W13" s="308">
        <f t="shared" si="5"/>
        <v>0</v>
      </c>
      <c r="X13" s="332" t="str">
        <f t="shared" si="6"/>
        <v/>
      </c>
      <c r="Y13" s="210" t="str">
        <f t="shared" si="0"/>
        <v/>
      </c>
      <c r="Z13" s="350" t="str">
        <f t="shared" si="7"/>
        <v/>
      </c>
      <c r="AA13" s="404">
        <f t="shared" ref="AA13:AA14" si="8">SUM(X13:Z13)</f>
        <v>0</v>
      </c>
      <c r="AB13" s="299">
        <f t="shared" si="2"/>
        <v>1.0008299999999999</v>
      </c>
      <c r="AC13" s="315">
        <f>IF(W13="","",SMALL(AB$7:AB$14,ROWS(AF$7:AF13)))</f>
        <v>1.0008199999999998</v>
      </c>
      <c r="AD13" s="324">
        <f>IF(AC13="","",IF(AND(AF12=AF13),AD12,$AD$7+6))</f>
        <v>1</v>
      </c>
      <c r="AE13" s="453">
        <f t="shared" si="3"/>
        <v>0</v>
      </c>
      <c r="AF13" s="453">
        <f t="shared" si="4"/>
        <v>0</v>
      </c>
      <c r="AH13" s="265" t="s">
        <v>116</v>
      </c>
      <c r="AI13" s="498">
        <v>2</v>
      </c>
      <c r="AJ13" s="241" t="s">
        <v>246</v>
      </c>
      <c r="AK13" s="136">
        <f t="shared" ref="AK13" si="9">SUM(AI13:AJ13)</f>
        <v>2</v>
      </c>
    </row>
    <row r="14" spans="1:37" ht="30" customHeight="1" thickBot="1">
      <c r="A14" s="110">
        <v>8</v>
      </c>
      <c r="B14" s="200" t="s">
        <v>105</v>
      </c>
      <c r="C14" s="204"/>
      <c r="D14" s="159">
        <v>8</v>
      </c>
      <c r="E14" s="44"/>
      <c r="F14" s="170">
        <v>4</v>
      </c>
      <c r="G14" s="482">
        <v>8</v>
      </c>
      <c r="H14" s="168" t="s">
        <v>105</v>
      </c>
      <c r="I14" s="217">
        <v>0</v>
      </c>
      <c r="J14" s="752"/>
      <c r="K14" s="44"/>
      <c r="L14" s="524">
        <v>4</v>
      </c>
      <c r="M14" s="627" t="str">
        <f>IF(J9=J10,"Perdant du 2",IF(J9&lt;J10,H9,H10))</f>
        <v>Perdant du 2</v>
      </c>
      <c r="N14" s="130">
        <f>IF(O13=O14,0,IF(O13&gt;O14,0,1))</f>
        <v>0</v>
      </c>
      <c r="O14" s="632"/>
      <c r="P14" s="44"/>
      <c r="Q14" s="44"/>
      <c r="R14" s="131"/>
      <c r="S14" s="131"/>
      <c r="T14" s="44"/>
      <c r="U14" s="113"/>
      <c r="V14" s="170">
        <v>8</v>
      </c>
      <c r="W14" s="422" t="str">
        <f t="shared" si="5"/>
        <v>OFFICE</v>
      </c>
      <c r="X14" s="378">
        <f t="shared" si="6"/>
        <v>0</v>
      </c>
      <c r="Y14" s="379">
        <f t="shared" ref="Y14" si="10">IF(ISNA(VLOOKUP(W14,$M$7:$N$16,2,0)),"",VLOOKUP(W14,$M$7:$N$16,2,0))</f>
        <v>0</v>
      </c>
      <c r="Z14" s="423" t="str">
        <f t="shared" si="7"/>
        <v/>
      </c>
      <c r="AA14" s="427">
        <f t="shared" si="8"/>
        <v>0</v>
      </c>
      <c r="AB14" s="425">
        <f t="shared" si="2"/>
        <v>1.00014</v>
      </c>
      <c r="AC14" s="428">
        <f>IF(W14="","",SMALL(AB$7:AB$14,ROWS(AF$7:AF14)))</f>
        <v>1.0008299999999999</v>
      </c>
      <c r="AD14" s="736">
        <f>IF(AC14="","",IF(AND(AF13=AF14),AD13,$AD$7+7))</f>
        <v>1</v>
      </c>
      <c r="AE14" s="426">
        <f t="shared" si="3"/>
        <v>0</v>
      </c>
      <c r="AF14" s="426">
        <f t="shared" si="4"/>
        <v>0</v>
      </c>
      <c r="AH14" s="282"/>
      <c r="AI14" s="731"/>
      <c r="AJ14" s="170"/>
      <c r="AK14" s="170"/>
    </row>
    <row r="15" spans="1:37" ht="30" customHeight="1" thickBot="1">
      <c r="E15" s="44"/>
      <c r="H15" s="144" t="s">
        <v>232</v>
      </c>
      <c r="K15" s="44"/>
      <c r="L15" s="536" t="s">
        <v>2</v>
      </c>
      <c r="M15" s="521" t="str">
        <f>IF(J11=J12,"Perdant du 3",IF(J11&lt;J12,H11,H12))</f>
        <v>Perdant du 3</v>
      </c>
      <c r="N15" s="216">
        <v>0.5</v>
      </c>
      <c r="O15" s="121">
        <v>1</v>
      </c>
      <c r="P15" s="44"/>
      <c r="Q15" s="44"/>
      <c r="R15" s="147" t="s">
        <v>53</v>
      </c>
      <c r="S15" s="131"/>
      <c r="T15" s="44"/>
      <c r="U15" s="113"/>
      <c r="X15" s="189">
        <f>SUM(X7:X14)</f>
        <v>0</v>
      </c>
      <c r="Y15" s="189">
        <f>SUM(Y7:Y14)</f>
        <v>0</v>
      </c>
      <c r="Z15" s="189">
        <f>SUM(Z7:Z14)</f>
        <v>0</v>
      </c>
      <c r="AA15" s="189">
        <f>SUM(AA7:AA14)</f>
        <v>0</v>
      </c>
    </row>
    <row r="16" spans="1:37" ht="30" customHeight="1" thickBot="1">
      <c r="E16" s="44"/>
      <c r="H16" s="144"/>
      <c r="K16" s="44"/>
      <c r="L16" s="282">
        <v>2</v>
      </c>
      <c r="M16" s="118" t="s">
        <v>105</v>
      </c>
      <c r="N16" s="217">
        <v>0</v>
      </c>
      <c r="O16" s="752"/>
      <c r="P16" s="44"/>
      <c r="Q16" s="483" t="s">
        <v>2</v>
      </c>
      <c r="R16" s="528" t="str">
        <f>IF(O6=O7,"Perdant du 3",IF(O6&lt;O7,M6,M7))</f>
        <v>Perdant du 3</v>
      </c>
      <c r="S16" s="177">
        <f>IF(T16=T17,0,IF(T16&lt;T17,0,1))</f>
        <v>1</v>
      </c>
      <c r="T16" s="511">
        <v>1</v>
      </c>
      <c r="U16" s="61"/>
    </row>
    <row r="17" spans="1:38" ht="30" customHeight="1" thickBot="1">
      <c r="E17" s="44"/>
      <c r="K17" s="44"/>
      <c r="M17" s="144"/>
      <c r="P17" s="44"/>
      <c r="Q17" s="484">
        <v>4</v>
      </c>
      <c r="R17" s="627" t="str">
        <f>IF(O8=O9,"Perdant du 5",IF(O8&lt;O9,M8,M9))</f>
        <v>Perdant du 5</v>
      </c>
      <c r="S17" s="130">
        <f>IF(T16=T17,0,IF(T16&gt;T17,0,1))</f>
        <v>0</v>
      </c>
      <c r="T17" s="512">
        <v>0</v>
      </c>
      <c r="U17" s="61"/>
      <c r="AH17" s="249"/>
      <c r="AI17" s="61"/>
    </row>
    <row r="18" spans="1:38" ht="30" customHeight="1" thickBot="1">
      <c r="B18" s="763" t="s">
        <v>134</v>
      </c>
      <c r="C18" s="764"/>
      <c r="D18" s="44"/>
      <c r="F18" s="44"/>
      <c r="G18" s="47"/>
      <c r="L18" s="44"/>
      <c r="Q18" s="44"/>
      <c r="V18" s="197"/>
    </row>
    <row r="19" spans="1:38" ht="30" customHeight="1" thickBot="1">
      <c r="B19" s="434" t="s">
        <v>45</v>
      </c>
      <c r="I19" s="135">
        <f>SUM(I7:I14)</f>
        <v>3</v>
      </c>
      <c r="J19" s="192"/>
      <c r="K19" s="192"/>
      <c r="L19" s="135"/>
      <c r="M19" s="192"/>
      <c r="N19" s="131">
        <f>SUM(N6:N16)</f>
        <v>1.5</v>
      </c>
      <c r="O19" s="192"/>
      <c r="P19" s="192"/>
      <c r="Q19" s="135"/>
      <c r="R19" s="135"/>
      <c r="S19" s="135">
        <f>SUM(S6:S17)</f>
        <v>4</v>
      </c>
      <c r="T19" s="135"/>
      <c r="U19" s="135"/>
      <c r="V19" s="131"/>
      <c r="W19" s="192"/>
      <c r="X19" s="192"/>
      <c r="Y19" s="192"/>
      <c r="Z19" s="192"/>
      <c r="AA19" s="192"/>
      <c r="AB19" s="192"/>
      <c r="AC19" s="192"/>
      <c r="AE19" s="359">
        <f>SUM(I19:U19)</f>
        <v>8.5</v>
      </c>
      <c r="AF19" s="359">
        <f>SUM(AF7:AF16)</f>
        <v>0</v>
      </c>
      <c r="AK19"/>
    </row>
    <row r="20" spans="1:38" ht="30" customHeight="1">
      <c r="B20" s="61"/>
      <c r="C20" s="61"/>
      <c r="D20" s="44"/>
      <c r="E20" s="44"/>
      <c r="F20" s="44"/>
      <c r="G20" s="47"/>
      <c r="L20" s="44"/>
      <c r="M20" s="44"/>
      <c r="N20" s="44"/>
      <c r="O20" s="113"/>
      <c r="P20" s="44"/>
      <c r="Q20" s="44"/>
      <c r="R20" s="44"/>
      <c r="S20" s="44"/>
      <c r="T20" s="44"/>
      <c r="U20" s="44"/>
      <c r="V20" s="113"/>
    </row>
    <row r="21" spans="1:38" ht="30" customHeight="1">
      <c r="A21" s="44"/>
      <c r="B21" s="162"/>
      <c r="C21" s="162"/>
      <c r="D21" s="44"/>
      <c r="E21" s="44"/>
      <c r="F21" s="44"/>
      <c r="G21" s="44"/>
      <c r="H21" s="44"/>
      <c r="I21" s="189">
        <v>21</v>
      </c>
      <c r="J21" s="189"/>
      <c r="K21" s="189"/>
      <c r="L21" s="44"/>
      <c r="M21" s="44"/>
      <c r="N21" s="44">
        <v>5.5</v>
      </c>
      <c r="O21" s="113"/>
      <c r="P21" s="44"/>
      <c r="Q21" s="44"/>
      <c r="R21" s="44"/>
      <c r="S21" s="44">
        <v>4</v>
      </c>
      <c r="T21" s="44"/>
      <c r="U21" s="44"/>
      <c r="V21" s="113"/>
      <c r="W21" s="189"/>
      <c r="X21" s="189"/>
      <c r="Y21" s="189"/>
      <c r="Z21" s="189"/>
      <c r="AA21" s="189"/>
      <c r="AB21" s="189"/>
      <c r="AC21" s="189"/>
      <c r="AD21" s="189"/>
      <c r="AE21" s="189">
        <f>SUM(I21:S21)</f>
        <v>30.5</v>
      </c>
      <c r="AF21" s="189" t="s">
        <v>255</v>
      </c>
      <c r="AI21" s="162"/>
      <c r="AJ21" s="162"/>
    </row>
    <row r="22" spans="1:38" ht="30" customHeight="1">
      <c r="A22" s="44"/>
      <c r="H22" s="44"/>
      <c r="I22" s="44"/>
      <c r="J22" s="44"/>
      <c r="K22" s="44"/>
      <c r="L22" s="44"/>
      <c r="M22" s="44"/>
      <c r="O22" s="44"/>
      <c r="P22" s="162"/>
      <c r="Q22" s="44"/>
      <c r="R22" s="44"/>
      <c r="T22" s="44"/>
      <c r="U22" s="162"/>
      <c r="V22" s="181"/>
      <c r="W22" s="113"/>
      <c r="X22" s="113"/>
      <c r="Y22" s="113"/>
      <c r="Z22" s="113"/>
      <c r="AA22" s="113"/>
      <c r="AB22" s="113"/>
      <c r="AC22" s="113"/>
      <c r="AD22" s="113"/>
      <c r="AE22" s="113"/>
      <c r="AK22" s="162"/>
      <c r="AL22" s="162"/>
    </row>
    <row r="23" spans="1:38" ht="30" customHeight="1">
      <c r="A23" s="44"/>
      <c r="H23" s="47"/>
      <c r="I23" s="44"/>
      <c r="J23" s="44"/>
      <c r="K23" s="44"/>
      <c r="L23" s="44"/>
      <c r="Q23" s="44"/>
      <c r="V23" s="197"/>
      <c r="W23" s="113"/>
      <c r="X23" s="113"/>
      <c r="Y23" s="113"/>
      <c r="Z23" s="113"/>
      <c r="AA23" s="113"/>
      <c r="AB23" s="113"/>
      <c r="AC23" s="113"/>
      <c r="AD23" s="113"/>
      <c r="AE23" s="113"/>
    </row>
    <row r="24" spans="1:38" ht="30" customHeight="1">
      <c r="A24" s="44"/>
      <c r="H24" s="44"/>
      <c r="J24" s="47"/>
      <c r="K24" s="162"/>
      <c r="L24" s="44"/>
      <c r="Q24" s="44"/>
      <c r="V24" s="197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</row>
    <row r="25" spans="1:38" ht="30" customHeight="1">
      <c r="B25" s="44"/>
      <c r="C25" s="44" t="s">
        <v>41</v>
      </c>
      <c r="D25" s="44"/>
      <c r="I25" s="44"/>
      <c r="K25" s="44"/>
      <c r="V25" s="197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</row>
    <row r="26" spans="1:38" ht="18.75">
      <c r="B26" s="144" t="s">
        <v>42</v>
      </c>
      <c r="C26" s="214" t="s">
        <v>101</v>
      </c>
      <c r="D26" s="44"/>
    </row>
    <row r="27" spans="1:38" ht="24.95" customHeight="1">
      <c r="B27" s="145" t="s">
        <v>43</v>
      </c>
      <c r="C27" s="214" t="s">
        <v>102</v>
      </c>
      <c r="D27" s="41"/>
    </row>
    <row r="28" spans="1:38" ht="18" customHeight="1"/>
    <row r="29" spans="1:38" ht="18" customHeight="1"/>
    <row r="30" spans="1:38" ht="18" customHeight="1"/>
    <row r="31" spans="1:38" ht="18" customHeight="1"/>
    <row r="32" spans="1:38" ht="18" customHeight="1"/>
    <row r="33" ht="18" customHeight="1"/>
    <row r="34" ht="18" customHeight="1"/>
  </sheetData>
  <sheetProtection password="CFC3" sheet="1" objects="1" scenarios="1" formatCells="0" formatColumns="0" formatRows="0" insertColumns="0" insertRows="0" insertHyperlinks="0" deleteColumns="0" deleteRows="0" sort="0"/>
  <mergeCells count="3">
    <mergeCell ref="B18:C18"/>
    <mergeCell ref="AE5:AF5"/>
    <mergeCell ref="AI5:AK5"/>
  </mergeCells>
  <conditionalFormatting sqref="AD7:AD13">
    <cfRule type="duplicateValues" dxfId="16" priority="2"/>
  </conditionalFormatting>
  <pageMargins left="0.13" right="0.18" top="0.12" bottom="0.25" header="0.17" footer="0.18"/>
  <pageSetup scale="76" orientation="landscape" horizontalDpi="4294967292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AM27"/>
  <sheetViews>
    <sheetView zoomScale="60" zoomScaleNormal="60" workbookViewId="0">
      <selection activeCell="T16" sqref="T16:T17"/>
    </sheetView>
  </sheetViews>
  <sheetFormatPr baseColWidth="10" defaultRowHeight="15"/>
  <cols>
    <col min="1" max="1" width="6.7109375" style="161" customWidth="1"/>
    <col min="2" max="2" width="28.28515625" style="161" customWidth="1"/>
    <col min="3" max="3" width="27.140625" style="161" customWidth="1"/>
    <col min="4" max="4" width="8.28515625" style="161" customWidth="1"/>
    <col min="5" max="5" width="6.28515625" style="161" customWidth="1"/>
    <col min="6" max="6" width="6" style="161" customWidth="1"/>
    <col min="7" max="7" width="6" style="161" hidden="1" customWidth="1"/>
    <col min="8" max="8" width="28.42578125" style="161" customWidth="1"/>
    <col min="9" max="9" width="8.28515625" style="161" hidden="1" customWidth="1"/>
    <col min="10" max="10" width="8.85546875" style="161" customWidth="1"/>
    <col min="11" max="12" width="8.140625" style="161" customWidth="1"/>
    <col min="13" max="13" width="31.42578125" style="161" customWidth="1"/>
    <col min="14" max="14" width="7.85546875" style="161" hidden="1" customWidth="1"/>
    <col min="15" max="15" width="8.85546875" style="161" customWidth="1"/>
    <col min="16" max="16" width="4.5703125" style="161" customWidth="1"/>
    <col min="17" max="17" width="6.5703125" style="161" customWidth="1"/>
    <col min="18" max="18" width="30.140625" style="161" customWidth="1"/>
    <col min="19" max="19" width="6.7109375" style="161" hidden="1" customWidth="1"/>
    <col min="20" max="20" width="8.28515625" style="161" customWidth="1"/>
    <col min="21" max="21" width="7.42578125" style="161" customWidth="1"/>
    <col min="22" max="22" width="9.140625" style="161" hidden="1" customWidth="1"/>
    <col min="23" max="23" width="38" style="197" hidden="1" customWidth="1"/>
    <col min="24" max="24" width="8.7109375" style="161" hidden="1" customWidth="1"/>
    <col min="25" max="25" width="10.42578125" style="161" hidden="1" customWidth="1"/>
    <col min="26" max="26" width="9.28515625" style="161" hidden="1" customWidth="1"/>
    <col min="27" max="27" width="11.85546875" style="161" hidden="1" customWidth="1"/>
    <col min="28" max="28" width="13.42578125" style="161" hidden="1" customWidth="1"/>
    <col min="29" max="29" width="13" style="161" hidden="1" customWidth="1"/>
    <col min="30" max="30" width="10.28515625" style="161" customWidth="1"/>
    <col min="31" max="31" width="29" style="161" customWidth="1"/>
    <col min="32" max="32" width="12.85546875" style="161" customWidth="1"/>
    <col min="33" max="33" width="5.7109375" style="161" customWidth="1"/>
    <col min="34" max="34" width="23.140625" style="161" customWidth="1"/>
    <col min="35" max="35" width="13" style="161" customWidth="1"/>
    <col min="36" max="36" width="42.28515625" style="161" customWidth="1"/>
    <col min="37" max="37" width="14.28515625" style="161" customWidth="1"/>
    <col min="38" max="38" width="12.42578125" style="161" customWidth="1"/>
    <col min="39" max="16384" width="11.42578125" style="161"/>
  </cols>
  <sheetData>
    <row r="1" spans="1:37" s="415" customFormat="1" ht="43.5" customHeight="1" thickBot="1">
      <c r="A1" s="411"/>
      <c r="B1" s="411"/>
      <c r="C1" s="411"/>
      <c r="D1" s="412" t="s">
        <v>0</v>
      </c>
      <c r="E1" s="411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3"/>
      <c r="Q1" s="412"/>
      <c r="R1" s="412" t="s">
        <v>139</v>
      </c>
      <c r="S1" s="412"/>
      <c r="T1" s="412"/>
      <c r="U1" s="412"/>
      <c r="V1" s="412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</row>
    <row r="2" spans="1:37" ht="27" customHeight="1" thickBot="1">
      <c r="A2" s="44"/>
      <c r="B2" s="357" t="s">
        <v>57</v>
      </c>
      <c r="C2" s="406"/>
      <c r="D2" s="44"/>
      <c r="E2" s="43" t="s">
        <v>44</v>
      </c>
      <c r="F2" s="43"/>
      <c r="G2" s="43"/>
      <c r="H2" s="43"/>
      <c r="I2" s="43"/>
      <c r="J2" s="43"/>
      <c r="K2" s="43"/>
      <c r="L2" s="43" t="s">
        <v>22</v>
      </c>
      <c r="M2" s="43"/>
      <c r="N2" s="44"/>
      <c r="O2" s="44"/>
      <c r="P2" s="113"/>
      <c r="Q2" s="44"/>
      <c r="R2" s="44"/>
      <c r="S2" s="44"/>
      <c r="T2" s="44"/>
      <c r="U2" s="44"/>
      <c r="V2" s="44"/>
      <c r="W2" s="113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</row>
    <row r="3" spans="1:37" ht="27" customHeight="1">
      <c r="A3" s="44"/>
      <c r="B3" s="44"/>
      <c r="C3" s="44"/>
      <c r="D3" s="44"/>
      <c r="E3" s="44"/>
      <c r="F3" s="44"/>
      <c r="G3" s="44"/>
      <c r="H3" s="46" t="s">
        <v>3</v>
      </c>
      <c r="I3" s="189"/>
      <c r="J3" s="46"/>
      <c r="K3" s="46"/>
      <c r="L3" s="46"/>
      <c r="M3" s="46" t="s">
        <v>229</v>
      </c>
      <c r="N3" s="46"/>
      <c r="O3" s="44"/>
      <c r="P3" s="44"/>
      <c r="Q3" s="44"/>
      <c r="R3" s="46" t="s">
        <v>230</v>
      </c>
      <c r="X3" s="140"/>
      <c r="Y3" s="140"/>
      <c r="Z3" s="140"/>
      <c r="AA3" s="140"/>
      <c r="AB3" s="140"/>
      <c r="AC3" s="140"/>
      <c r="AD3" s="140"/>
      <c r="AE3" s="140"/>
      <c r="AF3" s="140"/>
    </row>
    <row r="4" spans="1:37" ht="27" customHeight="1" thickBot="1">
      <c r="A4" s="44"/>
      <c r="B4" s="44"/>
      <c r="C4" s="44"/>
      <c r="D4" s="44"/>
      <c r="E4" s="44"/>
      <c r="F4" s="44"/>
      <c r="G4" s="44"/>
      <c r="H4" s="189"/>
      <c r="I4" s="46"/>
      <c r="J4" s="46"/>
      <c r="K4" s="44"/>
      <c r="L4" s="46"/>
      <c r="M4" s="46"/>
      <c r="N4" s="140"/>
      <c r="O4" s="46"/>
      <c r="P4" s="44"/>
      <c r="Q4" s="46"/>
      <c r="R4" s="46"/>
      <c r="S4" s="46"/>
      <c r="T4" s="44"/>
      <c r="U4" s="113"/>
      <c r="V4" s="113"/>
      <c r="W4" s="113"/>
      <c r="X4" s="113"/>
      <c r="Y4" s="113"/>
      <c r="Z4" s="113"/>
      <c r="AA4" s="61"/>
      <c r="AB4" s="61"/>
      <c r="AC4" s="61"/>
      <c r="AD4" s="61"/>
      <c r="AE4" s="113"/>
      <c r="AF4" s="113"/>
    </row>
    <row r="5" spans="1:37" ht="27" customHeight="1" thickBot="1">
      <c r="A5" s="44"/>
      <c r="B5" s="44"/>
      <c r="C5" s="44"/>
      <c r="D5" s="44"/>
      <c r="E5" s="44"/>
      <c r="F5" s="44"/>
      <c r="G5" s="44"/>
      <c r="H5" s="189"/>
      <c r="I5" s="46"/>
      <c r="J5" s="46"/>
      <c r="K5" s="44"/>
      <c r="L5" s="44"/>
      <c r="M5" s="44" t="s">
        <v>6</v>
      </c>
      <c r="N5" s="44" t="s">
        <v>108</v>
      </c>
      <c r="O5" s="44" t="s">
        <v>107</v>
      </c>
      <c r="P5" s="44"/>
      <c r="Q5" s="44"/>
      <c r="R5" s="44" t="s">
        <v>49</v>
      </c>
      <c r="S5" s="44" t="s">
        <v>108</v>
      </c>
      <c r="T5" s="44" t="s">
        <v>107</v>
      </c>
      <c r="U5" s="113"/>
      <c r="V5" s="113"/>
      <c r="W5" s="113"/>
      <c r="X5" s="113"/>
      <c r="Y5" s="113"/>
      <c r="Z5" s="113"/>
      <c r="AA5" s="246"/>
      <c r="AB5" s="246"/>
      <c r="AC5" s="246"/>
      <c r="AD5" s="246"/>
      <c r="AE5" s="766" t="s">
        <v>129</v>
      </c>
      <c r="AF5" s="767"/>
      <c r="AI5" s="772" t="s">
        <v>113</v>
      </c>
      <c r="AJ5" s="773"/>
      <c r="AK5" s="774"/>
    </row>
    <row r="6" spans="1:37" ht="27" customHeight="1" thickBot="1">
      <c r="A6" s="190"/>
      <c r="B6" s="349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4" t="s">
        <v>108</v>
      </c>
      <c r="J6" s="44" t="s">
        <v>107</v>
      </c>
      <c r="K6" s="44"/>
      <c r="L6" s="570" t="s">
        <v>2</v>
      </c>
      <c r="M6" s="519" t="str">
        <f>IF(J7=J8,"Gagnant du 1",IF(J7&gt;J8,H7,H8))</f>
        <v>Gagnant du 1</v>
      </c>
      <c r="N6" s="177">
        <f>IF(O6=O7,0,IF(O6&lt;O7,0,2))</f>
        <v>0</v>
      </c>
      <c r="O6" s="576"/>
      <c r="P6" s="44"/>
      <c r="Q6" s="570" t="s">
        <v>2</v>
      </c>
      <c r="R6" s="528" t="str">
        <f>IF(O6=O7,"Gagnant du 3",IF(O6&gt;O7,M6,M7))</f>
        <v>Gagnant du 3</v>
      </c>
      <c r="S6" s="177">
        <f>IF(T6=T7,0,IF(T6&lt;T7,0,2))</f>
        <v>0</v>
      </c>
      <c r="T6" s="576"/>
      <c r="U6" s="61"/>
      <c r="V6" s="113"/>
      <c r="W6" s="141" t="s">
        <v>111</v>
      </c>
      <c r="X6" s="304" t="s">
        <v>189</v>
      </c>
      <c r="Y6" s="238" t="s">
        <v>190</v>
      </c>
      <c r="Z6" s="238" t="s">
        <v>191</v>
      </c>
      <c r="AA6" s="352" t="s">
        <v>193</v>
      </c>
      <c r="AB6" s="344" t="s">
        <v>109</v>
      </c>
      <c r="AC6" s="352" t="s">
        <v>110</v>
      </c>
      <c r="AD6" s="433" t="s">
        <v>238</v>
      </c>
      <c r="AE6" s="363" t="s">
        <v>111</v>
      </c>
      <c r="AF6" s="365" t="s">
        <v>192</v>
      </c>
      <c r="AH6" s="238" t="s">
        <v>12</v>
      </c>
      <c r="AI6" s="112" t="s">
        <v>56</v>
      </c>
      <c r="AJ6" s="239" t="s">
        <v>241</v>
      </c>
      <c r="AK6" s="239" t="s">
        <v>16</v>
      </c>
    </row>
    <row r="7" spans="1:37" ht="27" customHeight="1" thickBot="1">
      <c r="A7" s="87">
        <v>1</v>
      </c>
      <c r="B7" s="555"/>
      <c r="C7" s="556"/>
      <c r="D7" s="89"/>
      <c r="E7" s="44"/>
      <c r="F7" s="573" t="s">
        <v>2</v>
      </c>
      <c r="G7" s="475">
        <v>1</v>
      </c>
      <c r="H7" s="191" t="str">
        <f>IF(ISNA(MATCH(G7,$D$7:$D$14,0)),"",INDEX(B7:B14,MATCH(G7,$D$7:$D$14,0)))</f>
        <v/>
      </c>
      <c r="I7" s="126">
        <f>IF(J7=J8,0,IF(J7&lt;J8,2,4))</f>
        <v>0</v>
      </c>
      <c r="J7" s="576"/>
      <c r="K7" s="47"/>
      <c r="L7" s="571">
        <v>3</v>
      </c>
      <c r="M7" s="520" t="str">
        <f>IF(J9=J10,"Gagnant du 2",IF(J9&gt;J10,H9,H10))</f>
        <v>Gagnant du 2</v>
      </c>
      <c r="N7" s="130">
        <f>IF(O6=O7,0,IF(O6&gt;O7,0,2))</f>
        <v>0</v>
      </c>
      <c r="O7" s="577"/>
      <c r="P7" s="47"/>
      <c r="Q7" s="571">
        <v>6</v>
      </c>
      <c r="R7" s="520" t="str">
        <f>IF(O8=O9,"Gagnant du 5",IF(O8&gt;O9,M8,M9))</f>
        <v>Gagnant du 5</v>
      </c>
      <c r="S7" s="130">
        <f>IF(T6=T7,0,IF(T6&gt;T7,0,2))</f>
        <v>0</v>
      </c>
      <c r="T7" s="577"/>
      <c r="U7" s="61"/>
      <c r="V7" s="136">
        <v>1</v>
      </c>
      <c r="W7" s="306">
        <f>+B7</f>
        <v>0</v>
      </c>
      <c r="X7" s="307" t="str">
        <f>IF(ISNA(VLOOKUP(W7,$H$7:$I$14,2,0)),"",VLOOKUP(W7,$H$7:$I$14,2,0))</f>
        <v/>
      </c>
      <c r="Y7" s="298" t="str">
        <f>IF(ISNA(VLOOKUP(W7,$M$6:$N$16,2,0)),"",VLOOKUP(W7,$M$6:$N$16,2,0))</f>
        <v/>
      </c>
      <c r="Z7" s="300" t="str">
        <f t="shared" ref="Z7:Z14" si="0">IF(ISNA(VLOOKUP(W7,$R$6:$S$17,3,0)),"",VLOOKUP(W7,$R$6:$S$17,2,0))</f>
        <v/>
      </c>
      <c r="AA7" s="346">
        <f t="shared" ref="AA7:AA12" si="1">SUM(X7:Z7)</f>
        <v>0</v>
      </c>
      <c r="AB7" s="319">
        <f>IF(OR(W7="",AA7=""),"",RANK(AA7,$AA$7:$AA$14)+COUNTIF(W$7:W$14,"&lt;="&amp;W7+1)/10000+ROW()/100000)</f>
        <v>1.0008699999999999</v>
      </c>
      <c r="AC7" s="564">
        <f>IF(W7="","",SMALL(AB$7:AB$14,ROWS(AF7:AF$7)))</f>
        <v>1.0008699999999999</v>
      </c>
      <c r="AD7" s="323">
        <f>IF(AC7="","",1)</f>
        <v>1</v>
      </c>
      <c r="AE7" s="449">
        <f>IF(OR(W7="",AA7=""),"",INDEX($W$7:$W$14,MATCH(AC7,$AB$7:$AB$14,0)))</f>
        <v>0</v>
      </c>
      <c r="AF7" s="269">
        <f t="shared" ref="AF7:AF14" si="2">IF(W7="","",INDEX($AA$7:$AA$16,MATCH(AC7,$AB$7:$AB$16,0)))</f>
        <v>0</v>
      </c>
      <c r="AH7" s="570" t="s">
        <v>115</v>
      </c>
      <c r="AI7" s="491">
        <v>2</v>
      </c>
      <c r="AJ7" s="241" t="s">
        <v>243</v>
      </c>
      <c r="AK7" s="727">
        <v>8</v>
      </c>
    </row>
    <row r="8" spans="1:37" ht="27" customHeight="1" thickBot="1">
      <c r="A8" s="94">
        <v>2</v>
      </c>
      <c r="B8" s="557"/>
      <c r="C8" s="558"/>
      <c r="D8" s="96"/>
      <c r="E8" s="44"/>
      <c r="F8" s="574">
        <v>1</v>
      </c>
      <c r="G8" s="476">
        <v>2</v>
      </c>
      <c r="H8" s="193" t="str">
        <f>IF(ISNA(MATCH(G8,$D$7:$D$14,0)),"",INDEX(B7:B14,MATCH(G8,$D$7:$D$14,0)))</f>
        <v/>
      </c>
      <c r="I8" s="130">
        <f>IF(J7=J8,0,IF(J7&gt;J8,2,4))</f>
        <v>0</v>
      </c>
      <c r="J8" s="577"/>
      <c r="K8" s="44"/>
      <c r="L8" s="570" t="s">
        <v>2</v>
      </c>
      <c r="M8" s="528" t="str">
        <f>IF(J11=J12,"Gagnant du 3",IF(J11&gt;J12,H11,H12))</f>
        <v>Gagnant du 3</v>
      </c>
      <c r="N8" s="172">
        <f>IF(O8=O9,0,IF(O8&lt;O9,0,2))</f>
        <v>0</v>
      </c>
      <c r="O8" s="576"/>
      <c r="P8" s="44"/>
      <c r="R8" s="655"/>
      <c r="S8" s="192"/>
      <c r="U8" s="197"/>
      <c r="V8" s="137">
        <v>2</v>
      </c>
      <c r="W8" s="308">
        <f>+B8</f>
        <v>0</v>
      </c>
      <c r="X8" s="332" t="str">
        <f t="shared" ref="X8:X14" si="3">IF(ISNA(VLOOKUP(W8,$H$7:$H$14,2,0)),"",VLOOKUP(W8,$H$7:$I$14,2,0))</f>
        <v/>
      </c>
      <c r="Y8" s="210" t="str">
        <f t="shared" ref="Y8:Y14" si="4">IF(ISNA(VLOOKUP(W8,$M$6:$N$16,2,0)),"",VLOOKUP(W8,$M$6:$N$16,2,0))</f>
        <v/>
      </c>
      <c r="Z8" s="350" t="str">
        <f t="shared" si="0"/>
        <v/>
      </c>
      <c r="AA8" s="347">
        <f t="shared" si="1"/>
        <v>0</v>
      </c>
      <c r="AB8" s="299">
        <f t="shared" ref="AB8:AB14" si="5">IF(OR(W8="",AA8=""),"",RANK(AA8,$AA$7:$AA$14)+COUNTIF(W$7:W$14,"&lt;="&amp;W8+1)/10000+ROW()/100000)</f>
        <v>1.00088</v>
      </c>
      <c r="AC8" s="649">
        <f>IF(W8="","",SMALL(AB$7:AB$14,ROWS(AF$7:AF8)))</f>
        <v>1.00088</v>
      </c>
      <c r="AD8" s="324">
        <f>IF(AC8="","",IF(AND(AF7=AF8),AD7,$AD$7+1))</f>
        <v>1</v>
      </c>
      <c r="AE8" s="450">
        <f t="shared" ref="AE8:AE14" si="6">IF(OR(W8="",AA8=""),"",INDEX($W$7:$W$14,MATCH(AC8,$AB$7:$AB$14,0)))</f>
        <v>0</v>
      </c>
      <c r="AF8" s="157">
        <f t="shared" si="2"/>
        <v>0</v>
      </c>
      <c r="AH8" s="580" t="s">
        <v>15</v>
      </c>
      <c r="AI8" s="492">
        <v>2</v>
      </c>
      <c r="AJ8" s="247" t="s">
        <v>244</v>
      </c>
      <c r="AK8" s="729">
        <v>6</v>
      </c>
    </row>
    <row r="9" spans="1:37" ht="27" customHeight="1" thickBot="1">
      <c r="A9" s="94">
        <v>3</v>
      </c>
      <c r="B9" s="559"/>
      <c r="C9" s="560"/>
      <c r="D9" s="96"/>
      <c r="E9" s="44"/>
      <c r="F9" s="573" t="s">
        <v>2</v>
      </c>
      <c r="G9" s="475">
        <v>3</v>
      </c>
      <c r="H9" s="191" t="str">
        <f>IF(ISNA(MATCH(G9,$D$7:$D$14,0)),"",INDEX(B7:B14,MATCH(G9,$D$7:$D$14,0)))</f>
        <v/>
      </c>
      <c r="I9" s="126">
        <f>IF(J9=J10,0,IF(J9&lt;J10,2,4))</f>
        <v>0</v>
      </c>
      <c r="J9" s="578"/>
      <c r="K9" s="44"/>
      <c r="L9" s="571">
        <v>5</v>
      </c>
      <c r="M9" s="534" t="str">
        <f>IF(J13=J14,"Gagnant du 3",IF(J13&gt;J14,H13,H14))</f>
        <v>Gagnant du 3</v>
      </c>
      <c r="N9" s="130">
        <f>IF(O8=O9,0,IF(O8&gt;O9,0,2))</f>
        <v>0</v>
      </c>
      <c r="O9" s="577"/>
      <c r="P9" s="44"/>
      <c r="Q9" s="44"/>
      <c r="R9" s="131"/>
      <c r="S9" s="131"/>
      <c r="T9" s="44"/>
      <c r="U9" s="113"/>
      <c r="V9" s="137">
        <v>3</v>
      </c>
      <c r="W9" s="308">
        <f t="shared" ref="W9:W14" si="7">+B9</f>
        <v>0</v>
      </c>
      <c r="X9" s="332" t="str">
        <f t="shared" si="3"/>
        <v/>
      </c>
      <c r="Y9" s="210" t="str">
        <f t="shared" si="4"/>
        <v/>
      </c>
      <c r="Z9" s="350" t="str">
        <f t="shared" si="0"/>
        <v/>
      </c>
      <c r="AA9" s="347">
        <f t="shared" si="1"/>
        <v>0</v>
      </c>
      <c r="AB9" s="299">
        <f t="shared" si="5"/>
        <v>1.0008899999999998</v>
      </c>
      <c r="AC9" s="649">
        <f>IF(W9="","",SMALL(AB$7:AB$14,ROWS(AF$7:AF9)))</f>
        <v>1.0008899999999998</v>
      </c>
      <c r="AD9" s="324">
        <f>IF(AC9="","",IF(AND(AF8=AF9),AD8,$AD$7+2))</f>
        <v>1</v>
      </c>
      <c r="AE9" s="450">
        <f t="shared" si="6"/>
        <v>0</v>
      </c>
      <c r="AF9" s="157">
        <f t="shared" si="2"/>
        <v>0</v>
      </c>
      <c r="AH9" s="660" t="s">
        <v>118</v>
      </c>
      <c r="AI9" s="491">
        <v>2</v>
      </c>
      <c r="AJ9" s="245" t="s">
        <v>248</v>
      </c>
      <c r="AK9" s="727">
        <v>5</v>
      </c>
    </row>
    <row r="10" spans="1:37" ht="27" customHeight="1" thickBot="1">
      <c r="A10" s="94">
        <v>4</v>
      </c>
      <c r="B10" s="557"/>
      <c r="C10" s="558"/>
      <c r="D10" s="96"/>
      <c r="E10" s="44"/>
      <c r="F10" s="574">
        <v>2</v>
      </c>
      <c r="G10" s="476">
        <v>4</v>
      </c>
      <c r="H10" s="193" t="str">
        <f>IF(ISNA(MATCH(G10,$D$7:$D$14,0)),"",INDEX(B7:B14,MATCH(G10,$D$7:$D$14,0)))</f>
        <v/>
      </c>
      <c r="I10" s="130">
        <f>IF(J9=J10,0,IF(J9&gt;J10,2,4))</f>
        <v>0</v>
      </c>
      <c r="J10" s="579"/>
      <c r="K10" s="47"/>
      <c r="M10" s="655"/>
      <c r="N10" s="192"/>
      <c r="P10" s="47"/>
      <c r="Q10" s="44"/>
      <c r="R10" s="131" t="s">
        <v>51</v>
      </c>
      <c r="S10" s="131"/>
      <c r="T10" s="44"/>
      <c r="U10" s="113"/>
      <c r="V10" s="137">
        <v>4</v>
      </c>
      <c r="W10" s="308">
        <f t="shared" si="7"/>
        <v>0</v>
      </c>
      <c r="X10" s="332" t="str">
        <f t="shared" si="3"/>
        <v/>
      </c>
      <c r="Y10" s="210" t="str">
        <f t="shared" si="4"/>
        <v/>
      </c>
      <c r="Z10" s="350" t="str">
        <f t="shared" si="0"/>
        <v/>
      </c>
      <c r="AA10" s="347">
        <f t="shared" si="1"/>
        <v>0</v>
      </c>
      <c r="AB10" s="299">
        <f t="shared" si="5"/>
        <v>1.0008999999999999</v>
      </c>
      <c r="AC10" s="649">
        <f>IF(W10="","",SMALL(AB$7:AB$14,ROWS(AF$7:AF10)))</f>
        <v>1.0008999999999999</v>
      </c>
      <c r="AD10" s="324">
        <f>IF(AC10="","",IF(AND(AF9=AF10),AD9,$AD$7+3))</f>
        <v>1</v>
      </c>
      <c r="AE10" s="450">
        <f t="shared" si="6"/>
        <v>0</v>
      </c>
      <c r="AF10" s="157">
        <f t="shared" si="2"/>
        <v>0</v>
      </c>
      <c r="AH10" s="726" t="s">
        <v>20</v>
      </c>
      <c r="AI10" s="493">
        <v>2</v>
      </c>
      <c r="AJ10" s="247" t="s">
        <v>245</v>
      </c>
      <c r="AK10" s="728">
        <v>4</v>
      </c>
    </row>
    <row r="11" spans="1:37" ht="27" customHeight="1">
      <c r="A11" s="94">
        <v>5</v>
      </c>
      <c r="B11" s="559"/>
      <c r="C11" s="560"/>
      <c r="D11" s="96"/>
      <c r="E11" s="44"/>
      <c r="F11" s="573" t="s">
        <v>2</v>
      </c>
      <c r="G11" s="475">
        <v>5</v>
      </c>
      <c r="H11" s="191" t="str">
        <f>IF(ISNA(MATCH(G11,$D$7:$D$14,0)),"",INDEX(B7:B14,MATCH(G11,$D$7:$D$14,0)))</f>
        <v/>
      </c>
      <c r="I11" s="126">
        <f>IF(J11=J12,0,IF(J11&lt;J12,2,4))</f>
        <v>0</v>
      </c>
      <c r="J11" s="576"/>
      <c r="K11" s="44"/>
      <c r="M11" s="655"/>
      <c r="N11" s="192"/>
      <c r="P11" s="44"/>
      <c r="Q11" s="522" t="s">
        <v>2</v>
      </c>
      <c r="R11" s="528" t="str">
        <f>IF(O15=O16,"Gagnant du 2",IF(O15&gt;O16,M15,M16))</f>
        <v>Gagnant du 2</v>
      </c>
      <c r="S11" s="177">
        <f>IF(T11=T12,0,IF(T11&lt;T12,0,1))</f>
        <v>0</v>
      </c>
      <c r="T11" s="631"/>
      <c r="U11" s="61"/>
      <c r="V11" s="137">
        <v>5</v>
      </c>
      <c r="W11" s="308">
        <f t="shared" si="7"/>
        <v>0</v>
      </c>
      <c r="X11" s="332" t="str">
        <f t="shared" si="3"/>
        <v/>
      </c>
      <c r="Y11" s="210" t="str">
        <f t="shared" si="4"/>
        <v/>
      </c>
      <c r="Z11" s="350" t="str">
        <f t="shared" si="0"/>
        <v/>
      </c>
      <c r="AA11" s="347">
        <f t="shared" si="1"/>
        <v>0</v>
      </c>
      <c r="AB11" s="299">
        <f t="shared" si="5"/>
        <v>1.00091</v>
      </c>
      <c r="AC11" s="649">
        <f>IF(W11="","",SMALL(AB$7:AB$14,ROWS(AF$7:AF11)))</f>
        <v>1.00091</v>
      </c>
      <c r="AD11" s="324">
        <f>IF(AC11="","",IF(AND(AF10=AF11),AD10,$AD$7+4))</f>
        <v>1</v>
      </c>
      <c r="AE11" s="450">
        <f t="shared" si="6"/>
        <v>0</v>
      </c>
      <c r="AF11" s="157">
        <f t="shared" si="2"/>
        <v>0</v>
      </c>
      <c r="AH11" s="724" t="s">
        <v>117</v>
      </c>
      <c r="AI11" s="503">
        <v>2</v>
      </c>
      <c r="AJ11" s="245" t="s">
        <v>250</v>
      </c>
      <c r="AK11" s="730">
        <v>4</v>
      </c>
    </row>
    <row r="12" spans="1:37" ht="27" customHeight="1" thickBot="1">
      <c r="A12" s="94">
        <v>6</v>
      </c>
      <c r="B12" s="557"/>
      <c r="C12" s="558"/>
      <c r="D12" s="96"/>
      <c r="E12" s="44"/>
      <c r="F12" s="574">
        <v>3</v>
      </c>
      <c r="G12" s="476">
        <v>6</v>
      </c>
      <c r="H12" s="193" t="str">
        <f>IF(ISNA(MATCH(G12,$D$7:$D$14,0)),"",INDEX(B7:B14,MATCH(G12,$D$7:$D$14,0)))</f>
        <v/>
      </c>
      <c r="I12" s="130">
        <f>IF(J11=J12,0,IF(J11&gt;J12,2,4))</f>
        <v>0</v>
      </c>
      <c r="J12" s="577"/>
      <c r="K12" s="44"/>
      <c r="L12" s="44"/>
      <c r="M12" s="131" t="s">
        <v>7</v>
      </c>
      <c r="N12" s="167"/>
      <c r="O12" s="195"/>
      <c r="P12" s="44"/>
      <c r="Q12" s="524">
        <v>5</v>
      </c>
      <c r="R12" s="627" t="str">
        <f>IF(O13=O14,"Gagnant du 4",IF(O13&gt;O14,M13,M14))</f>
        <v>Gagnant du 4</v>
      </c>
      <c r="S12" s="130">
        <f>IF(T11=T12,0,IF(T11&gt;T12,0,1))</f>
        <v>0</v>
      </c>
      <c r="T12" s="632"/>
      <c r="U12" s="61"/>
      <c r="V12" s="137">
        <v>6</v>
      </c>
      <c r="W12" s="308">
        <f t="shared" si="7"/>
        <v>0</v>
      </c>
      <c r="X12" s="332" t="str">
        <f t="shared" si="3"/>
        <v/>
      </c>
      <c r="Y12" s="210" t="str">
        <f t="shared" si="4"/>
        <v/>
      </c>
      <c r="Z12" s="350" t="str">
        <f t="shared" si="0"/>
        <v/>
      </c>
      <c r="AA12" s="347">
        <f t="shared" si="1"/>
        <v>0</v>
      </c>
      <c r="AB12" s="299">
        <f t="shared" si="5"/>
        <v>1.0009199999999998</v>
      </c>
      <c r="AC12" s="649">
        <f>IF(W12="","",SMALL(AB$7:AB$14,ROWS(AF$7:AF12)))</f>
        <v>1.0009199999999998</v>
      </c>
      <c r="AD12" s="324">
        <f>IF(AC12="","",IF(AND(AF11=AF12),AD11,$AD$7+5))</f>
        <v>1</v>
      </c>
      <c r="AE12" s="450">
        <f t="shared" si="6"/>
        <v>0</v>
      </c>
      <c r="AF12" s="157">
        <f t="shared" si="2"/>
        <v>0</v>
      </c>
      <c r="AH12" s="664" t="s">
        <v>18</v>
      </c>
      <c r="AI12" s="497">
        <v>2</v>
      </c>
      <c r="AJ12" s="247" t="s">
        <v>251</v>
      </c>
      <c r="AK12" s="728">
        <v>3</v>
      </c>
    </row>
    <row r="13" spans="1:37" ht="27" customHeight="1">
      <c r="A13" s="94">
        <v>7</v>
      </c>
      <c r="B13" s="559"/>
      <c r="C13" s="560"/>
      <c r="D13" s="96"/>
      <c r="E13" s="44"/>
      <c r="F13" s="573" t="s">
        <v>2</v>
      </c>
      <c r="G13" s="475">
        <v>7</v>
      </c>
      <c r="H13" s="191" t="str">
        <f>IF(ISNA(MATCH(G13,$D$7:$D$14,0)),"",INDEX(B7:B14,MATCH(G13,$D$7:$D$14,0)))</f>
        <v/>
      </c>
      <c r="I13" s="126">
        <f>IF(J13=J14,0,IF(J13&lt;J14,2,4))</f>
        <v>0</v>
      </c>
      <c r="J13" s="578"/>
      <c r="K13" s="44"/>
      <c r="L13" s="522" t="s">
        <v>2</v>
      </c>
      <c r="M13" s="528" t="str">
        <f>IF(J7=J8,"Perdant du 1",IF(J7&lt;J8,H7,H8))</f>
        <v>Perdant du 1</v>
      </c>
      <c r="N13" s="177">
        <f>IF(O13=O14,0,IF(O13&lt;O14,0,1))</f>
        <v>0</v>
      </c>
      <c r="O13" s="631"/>
      <c r="P13" s="44"/>
      <c r="R13" s="655"/>
      <c r="S13" s="192"/>
      <c r="U13" s="197"/>
      <c r="V13" s="137">
        <v>7</v>
      </c>
      <c r="W13" s="308">
        <f t="shared" si="7"/>
        <v>0</v>
      </c>
      <c r="X13" s="332" t="str">
        <f t="shared" si="3"/>
        <v/>
      </c>
      <c r="Y13" s="210" t="str">
        <f t="shared" si="4"/>
        <v/>
      </c>
      <c r="Z13" s="350" t="str">
        <f t="shared" si="0"/>
        <v/>
      </c>
      <c r="AA13" s="347">
        <f t="shared" ref="AA13:AA14" si="8">SUM(X13:Z13)</f>
        <v>0</v>
      </c>
      <c r="AB13" s="299">
        <f t="shared" si="5"/>
        <v>1.0009299999999999</v>
      </c>
      <c r="AC13" s="649">
        <f>IF(W13="","",SMALL(AB$7:AB$14,ROWS(AF$7:AF13)))</f>
        <v>1.0009299999999999</v>
      </c>
      <c r="AD13" s="324">
        <f>IF(AC13="","",IF(AND(AF12=AF13),AD12,$AD$7+6))</f>
        <v>1</v>
      </c>
      <c r="AE13" s="450">
        <f t="shared" si="6"/>
        <v>0</v>
      </c>
      <c r="AF13" s="157">
        <f t="shared" si="2"/>
        <v>0</v>
      </c>
      <c r="AH13" s="265" t="s">
        <v>116</v>
      </c>
      <c r="AI13" s="498">
        <v>2</v>
      </c>
      <c r="AJ13" s="241" t="s">
        <v>246</v>
      </c>
      <c r="AK13" s="136">
        <f t="shared" ref="AK13:AK14" si="9">SUM(AI13:AJ13)</f>
        <v>2</v>
      </c>
    </row>
    <row r="14" spans="1:37" ht="27" customHeight="1" thickBot="1">
      <c r="A14" s="110">
        <v>8</v>
      </c>
      <c r="B14" s="592"/>
      <c r="C14" s="588"/>
      <c r="D14" s="111"/>
      <c r="E14" s="44"/>
      <c r="F14" s="574">
        <v>4</v>
      </c>
      <c r="G14" s="476">
        <v>8</v>
      </c>
      <c r="H14" s="193" t="str">
        <f>IF(ISNA(MATCH(G14,$D$7:$D$14,0)),"",INDEX(B7:B14,MATCH(G14,$D$7:$D$14,0)))</f>
        <v/>
      </c>
      <c r="I14" s="130">
        <f>IF(J13=J14,0,IF(J13&gt;J14,2,4))</f>
        <v>0</v>
      </c>
      <c r="J14" s="577"/>
      <c r="K14" s="44"/>
      <c r="L14" s="524">
        <v>4</v>
      </c>
      <c r="M14" s="627" t="str">
        <f>IF(J9=J10,"Perdant du 2",IF(J9&lt;J10,H9,H10))</f>
        <v>Perdant du 2</v>
      </c>
      <c r="N14" s="130">
        <f>IF(O13=O14,0,IF(O13&gt;O14,0,1))</f>
        <v>0</v>
      </c>
      <c r="O14" s="632"/>
      <c r="P14" s="44"/>
      <c r="Q14" s="44"/>
      <c r="R14" s="131"/>
      <c r="S14" s="131"/>
      <c r="T14" s="44"/>
      <c r="U14" s="113"/>
      <c r="V14" s="138">
        <v>8</v>
      </c>
      <c r="W14" s="334">
        <f t="shared" si="7"/>
        <v>0</v>
      </c>
      <c r="X14" s="333" t="str">
        <f t="shared" si="3"/>
        <v/>
      </c>
      <c r="Y14" s="236" t="str">
        <f t="shared" si="4"/>
        <v/>
      </c>
      <c r="Z14" s="313" t="str">
        <f t="shared" si="0"/>
        <v/>
      </c>
      <c r="AA14" s="348">
        <f t="shared" si="8"/>
        <v>0</v>
      </c>
      <c r="AB14" s="336">
        <f t="shared" si="5"/>
        <v>1.0009399999999999</v>
      </c>
      <c r="AC14" s="650">
        <f>IF(W14="","",SMALL(AB$7:AB$14,ROWS(AF$7:AF14)))</f>
        <v>1.0009399999999999</v>
      </c>
      <c r="AD14" s="325">
        <f>IF(AC14="","",IF(AND(AF13=AF14),AD13,$AD$7+7))</f>
        <v>1</v>
      </c>
      <c r="AE14" s="451">
        <f t="shared" si="6"/>
        <v>0</v>
      </c>
      <c r="AF14" s="158">
        <f t="shared" si="2"/>
        <v>0</v>
      </c>
      <c r="AH14" s="257" t="s">
        <v>116</v>
      </c>
      <c r="AI14" s="500">
        <v>2</v>
      </c>
      <c r="AJ14" s="247" t="s">
        <v>246</v>
      </c>
      <c r="AK14" s="138">
        <f t="shared" si="9"/>
        <v>2</v>
      </c>
    </row>
    <row r="15" spans="1:37" ht="27" customHeight="1" thickBot="1">
      <c r="E15" s="44"/>
      <c r="K15" s="44"/>
      <c r="L15" s="536" t="s">
        <v>2</v>
      </c>
      <c r="M15" s="521" t="str">
        <f>IF(J11=J12,"Perdant du 3",IF(J11&lt;J12,H11,H12))</f>
        <v>Perdant du 3</v>
      </c>
      <c r="N15" s="172">
        <f>IF(O15=O16,0,IF(O15&lt;O16,0,1))</f>
        <v>0</v>
      </c>
      <c r="O15" s="635"/>
      <c r="P15" s="44"/>
      <c r="Q15" s="44"/>
      <c r="R15" s="147" t="s">
        <v>53</v>
      </c>
      <c r="S15" s="131"/>
      <c r="T15" s="44"/>
      <c r="U15" s="113"/>
      <c r="W15" s="161"/>
      <c r="X15" s="161">
        <f>SUM(X7:X14)</f>
        <v>0</v>
      </c>
      <c r="Y15" s="161">
        <f>SUM(Y7:Y14)</f>
        <v>0</v>
      </c>
      <c r="Z15" s="161">
        <f>SUM(Z7:Z14)</f>
        <v>0</v>
      </c>
      <c r="AA15" s="161">
        <f>SUM(AA7:AA14)</f>
        <v>0</v>
      </c>
    </row>
    <row r="16" spans="1:37" ht="27" customHeight="1" thickBot="1">
      <c r="E16" s="44"/>
      <c r="K16" s="44"/>
      <c r="L16" s="524">
        <v>2</v>
      </c>
      <c r="M16" s="520" t="str">
        <f>IF(J13=J14,"Perdant du 4",IF(J13&lt;J14,H13,H14))</f>
        <v>Perdant du 4</v>
      </c>
      <c r="N16" s="130">
        <f>IF(O15=O16,0,IF(O15&gt;O16,0,1))</f>
        <v>0</v>
      </c>
      <c r="O16" s="632"/>
      <c r="P16" s="44"/>
      <c r="Q16" s="483" t="s">
        <v>2</v>
      </c>
      <c r="R16" s="528" t="str">
        <f>IF(O6=O7,"Perdant du 3",IF(O6&lt;O7,M6,M7))</f>
        <v>Perdant du 3</v>
      </c>
      <c r="S16" s="177">
        <f>IF(T16=T17,0,IF(T16&lt;T17,0,1))</f>
        <v>0</v>
      </c>
      <c r="T16" s="511"/>
      <c r="U16" s="61"/>
      <c r="W16" s="161"/>
    </row>
    <row r="17" spans="1:39" ht="27" customHeight="1" thickBot="1">
      <c r="B17" s="763" t="s">
        <v>133</v>
      </c>
      <c r="C17" s="764"/>
      <c r="E17" s="44"/>
      <c r="K17" s="44"/>
      <c r="P17" s="44"/>
      <c r="Q17" s="484">
        <v>4</v>
      </c>
      <c r="R17" s="627" t="str">
        <f>IF(O8=O9,"Perdant du 5",IF(O8&lt;O9,M8,M9))</f>
        <v>Perdant du 5</v>
      </c>
      <c r="S17" s="130">
        <f>IF(T16=T17,0,IF(T16&gt;T17,0,1))</f>
        <v>0</v>
      </c>
      <c r="T17" s="512"/>
      <c r="U17" s="61"/>
      <c r="W17" s="161"/>
      <c r="AH17" s="61"/>
    </row>
    <row r="18" spans="1:39" ht="26.1" customHeight="1" thickBot="1">
      <c r="B18" s="434" t="s">
        <v>45</v>
      </c>
      <c r="E18" s="44"/>
      <c r="K18" s="44"/>
      <c r="P18" s="44"/>
      <c r="U18" s="197"/>
      <c r="W18" s="161"/>
      <c r="AG18" s="249"/>
    </row>
    <row r="19" spans="1:39" ht="26.1" customHeight="1" thickBot="1">
      <c r="E19" s="44"/>
      <c r="I19" s="135">
        <f>SUM(I7:I14)</f>
        <v>0</v>
      </c>
      <c r="J19" s="192"/>
      <c r="K19" s="192"/>
      <c r="L19" s="135"/>
      <c r="M19" s="192"/>
      <c r="N19" s="131">
        <f>SUM(N6:N16)</f>
        <v>0</v>
      </c>
      <c r="O19" s="192"/>
      <c r="P19" s="192"/>
      <c r="Q19" s="135"/>
      <c r="R19" s="135"/>
      <c r="S19" s="135">
        <f>SUM(S6:S17)</f>
        <v>0</v>
      </c>
      <c r="T19" s="135"/>
      <c r="U19" s="135"/>
      <c r="V19" s="131"/>
      <c r="W19" s="192"/>
      <c r="X19" s="192"/>
      <c r="Y19" s="192"/>
      <c r="Z19" s="192"/>
      <c r="AA19" s="192"/>
      <c r="AB19" s="192"/>
      <c r="AD19"/>
      <c r="AE19"/>
      <c r="AF19" s="112">
        <f>SUM(AF7:AF18)</f>
        <v>0</v>
      </c>
      <c r="AG19" s="249"/>
      <c r="AK19"/>
    </row>
    <row r="20" spans="1:39" ht="26.1" customHeight="1">
      <c r="D20" s="44"/>
      <c r="F20" s="44"/>
      <c r="G20" s="47"/>
      <c r="I20" s="144"/>
      <c r="M20" s="44"/>
      <c r="N20" s="44"/>
      <c r="O20" s="44"/>
      <c r="P20" s="113"/>
      <c r="Q20" s="44"/>
      <c r="R20" s="44"/>
      <c r="S20" s="44"/>
      <c r="T20" s="44"/>
      <c r="U20" s="44"/>
      <c r="V20" s="44"/>
      <c r="W20" s="113"/>
    </row>
    <row r="21" spans="1:39" ht="26.1" customHeight="1">
      <c r="A21" s="44"/>
      <c r="H21" s="44"/>
      <c r="I21" s="161">
        <v>24</v>
      </c>
      <c r="M21" s="44"/>
      <c r="N21" s="44">
        <v>6</v>
      </c>
      <c r="O21" s="44"/>
      <c r="P21" s="113"/>
      <c r="Q21" s="44"/>
      <c r="R21" s="44"/>
      <c r="S21" s="44">
        <v>4</v>
      </c>
      <c r="T21" s="44"/>
      <c r="U21" s="44"/>
      <c r="V21" s="44"/>
      <c r="W21" s="113"/>
      <c r="AF21" s="161">
        <f>SUM(I21:S21)</f>
        <v>34</v>
      </c>
      <c r="AJ21" s="162"/>
      <c r="AK21" s="162"/>
    </row>
    <row r="22" spans="1:39" ht="26.1" customHeight="1">
      <c r="A22" s="44"/>
      <c r="B22" s="61"/>
      <c r="C22" s="61"/>
      <c r="D22" s="44"/>
      <c r="E22" s="44"/>
      <c r="F22" s="44"/>
      <c r="G22" s="47"/>
      <c r="H22" s="44"/>
      <c r="I22" s="44"/>
      <c r="J22" s="44"/>
      <c r="K22" s="44"/>
      <c r="L22" s="44"/>
      <c r="M22" s="44"/>
      <c r="N22" s="44"/>
      <c r="O22" s="44"/>
      <c r="P22" s="44"/>
      <c r="Q22" s="162"/>
      <c r="R22" s="44"/>
      <c r="S22" s="44"/>
      <c r="T22" s="44"/>
      <c r="U22" s="44"/>
      <c r="V22" s="162"/>
      <c r="W22" s="181"/>
      <c r="X22" s="113"/>
      <c r="Y22" s="113"/>
      <c r="Z22" s="113"/>
      <c r="AA22" s="113"/>
      <c r="AB22" s="113"/>
      <c r="AC22" s="113"/>
      <c r="AD22" s="113"/>
      <c r="AE22" s="113"/>
      <c r="AF22" s="113"/>
      <c r="AJ22" s="162"/>
      <c r="AK22" s="162"/>
      <c r="AL22" s="162"/>
      <c r="AM22" s="162"/>
    </row>
    <row r="23" spans="1:39" ht="26.1" customHeight="1">
      <c r="A23" s="44"/>
      <c r="B23" s="61"/>
      <c r="C23" s="61"/>
      <c r="D23" s="44"/>
      <c r="E23" s="44"/>
      <c r="F23" s="44"/>
      <c r="G23" s="384"/>
      <c r="H23" s="44"/>
      <c r="I23" s="44"/>
      <c r="J23" s="44"/>
      <c r="K23" s="44"/>
      <c r="L23" s="44"/>
      <c r="M23" s="44"/>
      <c r="N23" s="44"/>
      <c r="O23" s="44"/>
      <c r="P23" s="44"/>
      <c r="Q23" s="162"/>
      <c r="R23" s="44"/>
      <c r="S23" s="44"/>
      <c r="T23" s="44"/>
      <c r="U23" s="44"/>
      <c r="V23" s="162"/>
      <c r="W23" s="181"/>
      <c r="X23" s="113"/>
      <c r="Y23" s="113"/>
      <c r="Z23" s="113"/>
      <c r="AA23" s="113"/>
      <c r="AB23" s="113"/>
      <c r="AC23" s="113"/>
      <c r="AD23" s="113"/>
      <c r="AE23" s="113"/>
      <c r="AF23" s="113"/>
      <c r="AL23" s="162"/>
      <c r="AM23" s="162"/>
    </row>
    <row r="24" spans="1:39" ht="26.1" customHeight="1">
      <c r="A24" s="44"/>
      <c r="B24" s="162"/>
      <c r="C24" s="162"/>
      <c r="D24" s="44"/>
      <c r="E24" s="44"/>
      <c r="F24" s="44"/>
      <c r="G24" s="44"/>
      <c r="H24" s="47"/>
      <c r="I24" s="44"/>
      <c r="J24" s="44"/>
      <c r="K24" s="44"/>
      <c r="L24" s="44"/>
      <c r="M24" s="44"/>
      <c r="R24" s="44"/>
      <c r="X24" s="113"/>
      <c r="Y24" s="113"/>
      <c r="Z24" s="113"/>
      <c r="AA24" s="113"/>
      <c r="AB24" s="113"/>
      <c r="AC24" s="113"/>
      <c r="AD24" s="113"/>
      <c r="AE24" s="113"/>
      <c r="AF24" s="113"/>
    </row>
    <row r="25" spans="1:39" ht="26.1" customHeight="1">
      <c r="A25" s="44"/>
      <c r="B25" s="44"/>
      <c r="C25" s="44" t="s">
        <v>41</v>
      </c>
      <c r="D25" s="44"/>
      <c r="H25" s="44"/>
      <c r="I25" s="47"/>
      <c r="K25" s="47"/>
      <c r="L25" s="162"/>
      <c r="M25" s="44"/>
      <c r="R25" s="44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9" ht="18.75">
      <c r="B26" s="144" t="s">
        <v>42</v>
      </c>
      <c r="C26" s="214" t="s">
        <v>101</v>
      </c>
      <c r="D26" s="44"/>
      <c r="I26" s="44"/>
      <c r="J26" s="44"/>
      <c r="L26" s="44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I26" s="162"/>
    </row>
    <row r="27" spans="1:39" ht="18.75">
      <c r="B27" s="145" t="s">
        <v>43</v>
      </c>
      <c r="C27" s="214" t="s">
        <v>102</v>
      </c>
      <c r="D27" s="41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</row>
  </sheetData>
  <sheetProtection password="CFC3" sheet="1" objects="1" scenarios="1" formatCells="0" formatColumns="0" formatRows="0" insertColumns="0" insertRows="0" insertHyperlinks="0" deleteColumns="0" deleteRows="0" sort="0"/>
  <mergeCells count="3">
    <mergeCell ref="AE5:AF5"/>
    <mergeCell ref="B17:C17"/>
    <mergeCell ref="AI5:AK5"/>
  </mergeCells>
  <conditionalFormatting sqref="AD7:AD14">
    <cfRule type="duplicateValues" dxfId="15" priority="1"/>
  </conditionalFormatting>
  <pageMargins left="0.33" right="0.34" top="0.36" bottom="0.48" header="0.19" footer="0.31496062992125984"/>
  <pageSetup paperSize="9" scale="77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00"/>
  </sheetPr>
  <dimension ref="A1:AQ61"/>
  <sheetViews>
    <sheetView topLeftCell="A2" zoomScale="60" zoomScaleNormal="60" workbookViewId="0">
      <selection activeCell="Y13" sqref="Y13:Y14"/>
    </sheetView>
  </sheetViews>
  <sheetFormatPr baseColWidth="10" defaultRowHeight="15"/>
  <cols>
    <col min="1" max="1" width="6.5703125" style="161" customWidth="1"/>
    <col min="2" max="2" width="28" style="161" customWidth="1"/>
    <col min="3" max="3" width="25.140625" style="161" customWidth="1"/>
    <col min="4" max="4" width="10.42578125" style="161" customWidth="1"/>
    <col min="5" max="5" width="5.7109375" style="161" customWidth="1"/>
    <col min="6" max="6" width="8.140625" style="161" customWidth="1"/>
    <col min="7" max="7" width="7.7109375" style="161" hidden="1" customWidth="1"/>
    <col min="8" max="8" width="28.140625" style="161" customWidth="1"/>
    <col min="9" max="9" width="7.140625" style="161" hidden="1" customWidth="1"/>
    <col min="10" max="10" width="8.28515625" style="161" customWidth="1"/>
    <col min="11" max="11" width="7.140625" style="161" customWidth="1"/>
    <col min="12" max="12" width="9.42578125" style="161" customWidth="1"/>
    <col min="13" max="13" width="31.28515625" style="161" customWidth="1"/>
    <col min="14" max="14" width="5" style="161" hidden="1" customWidth="1"/>
    <col min="15" max="15" width="8.5703125" style="161" customWidth="1"/>
    <col min="16" max="16" width="4.85546875" style="161" customWidth="1"/>
    <col min="17" max="17" width="6.85546875" style="161" customWidth="1"/>
    <col min="18" max="18" width="26.5703125" style="161" customWidth="1"/>
    <col min="19" max="19" width="7.7109375" style="161" hidden="1" customWidth="1"/>
    <col min="20" max="20" width="8.7109375" style="161" customWidth="1"/>
    <col min="21" max="21" width="10" style="161" customWidth="1"/>
    <col min="22" max="22" width="7.5703125" style="161" customWidth="1"/>
    <col min="23" max="23" width="27.5703125" style="161" customWidth="1"/>
    <col min="24" max="24" width="9" style="161" hidden="1" customWidth="1"/>
    <col min="25" max="25" width="8.28515625" style="161" customWidth="1"/>
    <col min="26" max="26" width="6.28515625" style="161" customWidth="1"/>
    <col min="27" max="27" width="5.5703125" style="161" hidden="1" customWidth="1"/>
    <col min="28" max="28" width="26.140625" style="161" hidden="1" customWidth="1"/>
    <col min="29" max="32" width="8.42578125" style="161" hidden="1" customWidth="1"/>
    <col min="33" max="33" width="11.140625" style="161" hidden="1" customWidth="1"/>
    <col min="34" max="34" width="18.28515625" style="161" hidden="1" customWidth="1"/>
    <col min="35" max="35" width="13.140625" style="161" hidden="1" customWidth="1"/>
    <col min="36" max="36" width="10.42578125" style="161" customWidth="1"/>
    <col min="37" max="37" width="27.85546875" style="161" customWidth="1"/>
    <col min="38" max="38" width="23.140625" style="161" customWidth="1"/>
    <col min="39" max="39" width="6.85546875" style="161" customWidth="1"/>
    <col min="40" max="40" width="25.42578125" style="161" customWidth="1"/>
    <col min="41" max="41" width="12.140625" style="161" customWidth="1"/>
    <col min="42" max="42" width="39" style="161" customWidth="1"/>
    <col min="43" max="43" width="15.42578125" style="161" customWidth="1"/>
    <col min="44" max="16384" width="11.42578125" style="161"/>
  </cols>
  <sheetData>
    <row r="1" spans="1:43" s="415" customFormat="1" ht="41.25" customHeight="1" thickBot="1">
      <c r="A1" s="411"/>
      <c r="B1" s="411"/>
      <c r="C1" s="411"/>
      <c r="D1" s="412" t="s">
        <v>0</v>
      </c>
      <c r="E1" s="411"/>
      <c r="F1" s="412"/>
      <c r="G1" s="412"/>
      <c r="H1" s="412"/>
      <c r="I1" s="412"/>
      <c r="J1" s="412"/>
      <c r="K1" s="412"/>
      <c r="L1" s="412"/>
      <c r="M1" s="412"/>
      <c r="N1" s="412"/>
      <c r="O1" s="413"/>
      <c r="P1" s="412"/>
      <c r="Q1" s="412"/>
      <c r="R1" s="412" t="s">
        <v>138</v>
      </c>
      <c r="S1" s="412"/>
      <c r="T1" s="412"/>
      <c r="U1" s="412"/>
      <c r="V1" s="412"/>
      <c r="W1" s="412"/>
      <c r="X1" s="413"/>
      <c r="Y1" s="413"/>
      <c r="Z1" s="412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</row>
    <row r="2" spans="1:43" ht="28.5" customHeight="1" thickBot="1">
      <c r="A2" s="44"/>
      <c r="C2" s="357" t="s">
        <v>58</v>
      </c>
      <c r="D2" s="44"/>
      <c r="E2" s="43" t="s">
        <v>44</v>
      </c>
      <c r="F2" s="43"/>
      <c r="G2" s="43"/>
      <c r="H2" s="43"/>
      <c r="I2" s="43"/>
      <c r="J2" s="43"/>
      <c r="K2" s="43" t="s">
        <v>22</v>
      </c>
      <c r="L2" s="43"/>
      <c r="M2" s="44"/>
      <c r="N2" s="44"/>
      <c r="O2" s="113"/>
      <c r="P2" s="44"/>
      <c r="Q2" s="44"/>
      <c r="R2" s="44"/>
      <c r="S2" s="44"/>
      <c r="T2" s="44"/>
      <c r="U2" s="44"/>
      <c r="V2" s="44"/>
      <c r="W2" s="113"/>
      <c r="X2" s="44"/>
      <c r="Y2" s="44"/>
      <c r="Z2" s="44"/>
      <c r="AA2" s="113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spans="1:43" ht="24.75" customHeight="1">
      <c r="A3" s="44"/>
      <c r="B3" s="44"/>
      <c r="C3" s="44"/>
      <c r="D3" s="44"/>
      <c r="E3" s="44"/>
      <c r="F3" s="44"/>
      <c r="G3" s="44"/>
      <c r="H3" s="46" t="s">
        <v>3</v>
      </c>
      <c r="I3" s="46"/>
      <c r="J3" s="46"/>
      <c r="K3" s="46"/>
      <c r="L3" s="46"/>
      <c r="M3" s="46" t="s">
        <v>5</v>
      </c>
      <c r="N3" s="140"/>
      <c r="O3" s="46"/>
      <c r="P3" s="46"/>
      <c r="Q3" s="46"/>
      <c r="R3" s="46" t="s">
        <v>229</v>
      </c>
      <c r="S3" s="46"/>
      <c r="T3" s="44"/>
      <c r="U3" s="44"/>
      <c r="V3" s="44"/>
      <c r="W3" s="46" t="s">
        <v>230</v>
      </c>
      <c r="X3" s="46"/>
      <c r="Y3" s="44"/>
      <c r="Z3" s="113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</row>
    <row r="4" spans="1:43" ht="20.25" customHeight="1" thickBot="1">
      <c r="A4" s="44"/>
      <c r="B4" s="44"/>
      <c r="C4" s="44"/>
      <c r="D4" s="44"/>
      <c r="E4" s="44"/>
      <c r="F4" s="44"/>
      <c r="G4" s="44"/>
      <c r="H4" s="46"/>
      <c r="I4" s="46"/>
      <c r="J4" s="46"/>
      <c r="K4" s="44"/>
      <c r="L4" s="46"/>
      <c r="M4" s="46"/>
      <c r="N4" s="140"/>
      <c r="O4" s="46"/>
      <c r="P4" s="44"/>
      <c r="Q4" s="46"/>
      <c r="R4" s="46"/>
      <c r="S4" s="46"/>
      <c r="T4" s="44"/>
      <c r="U4" s="44"/>
      <c r="V4" s="44"/>
      <c r="W4" s="44"/>
      <c r="X4" s="44"/>
      <c r="Y4" s="44"/>
      <c r="Z4" s="113"/>
      <c r="AA4" s="113"/>
      <c r="AB4" s="113"/>
      <c r="AC4" s="113"/>
      <c r="AD4" s="113"/>
      <c r="AE4" s="113"/>
      <c r="AF4" s="113"/>
      <c r="AG4" s="113"/>
      <c r="AH4" s="61"/>
      <c r="AI4" s="61"/>
      <c r="AJ4" s="61"/>
      <c r="AK4" s="113"/>
      <c r="AL4" s="113"/>
    </row>
    <row r="5" spans="1:43" ht="27.75" customHeight="1" thickBot="1">
      <c r="A5" s="44"/>
      <c r="B5" s="44"/>
      <c r="C5" s="44"/>
      <c r="D5" s="44"/>
      <c r="E5" s="44"/>
      <c r="F5" s="44"/>
      <c r="G5" s="44"/>
      <c r="H5" s="46"/>
      <c r="I5" s="189"/>
      <c r="J5" s="46"/>
      <c r="K5" s="46"/>
      <c r="L5" s="44"/>
      <c r="M5" s="44" t="s">
        <v>6</v>
      </c>
      <c r="N5" s="405" t="s">
        <v>108</v>
      </c>
      <c r="O5" s="44" t="s">
        <v>107</v>
      </c>
      <c r="Q5" s="44"/>
      <c r="R5" s="44" t="s">
        <v>49</v>
      </c>
      <c r="S5" s="189" t="s">
        <v>108</v>
      </c>
      <c r="T5" s="44" t="s">
        <v>107</v>
      </c>
      <c r="V5" s="44"/>
      <c r="W5" s="44"/>
      <c r="X5" s="189"/>
      <c r="Y5" s="44"/>
      <c r="Z5" s="44"/>
      <c r="AA5" s="113"/>
      <c r="AB5" s="113"/>
      <c r="AC5" s="113"/>
      <c r="AD5" s="113"/>
      <c r="AE5" s="113"/>
      <c r="AF5" s="113"/>
      <c r="AG5" s="113"/>
      <c r="AH5" s="246"/>
      <c r="AI5" s="246"/>
      <c r="AJ5" s="246"/>
      <c r="AK5" s="766" t="s">
        <v>129</v>
      </c>
      <c r="AL5" s="767"/>
      <c r="AO5" s="772" t="s">
        <v>113</v>
      </c>
      <c r="AP5" s="773"/>
      <c r="AQ5" s="774"/>
    </row>
    <row r="6" spans="1:43" ht="27" customHeight="1" thickBot="1">
      <c r="A6" s="190"/>
      <c r="B6" s="353" t="s">
        <v>103</v>
      </c>
      <c r="C6" s="86" t="s">
        <v>13</v>
      </c>
      <c r="D6" s="86" t="s">
        <v>104</v>
      </c>
      <c r="E6" s="44"/>
      <c r="F6" s="44"/>
      <c r="G6" s="44"/>
      <c r="H6" s="44" t="s">
        <v>4</v>
      </c>
      <c r="I6" s="44" t="s">
        <v>108</v>
      </c>
      <c r="J6" s="44" t="s">
        <v>107</v>
      </c>
      <c r="K6" s="44"/>
      <c r="L6" s="570" t="s">
        <v>2</v>
      </c>
      <c r="M6" s="519" t="str">
        <f>IF(J7=J8,"Gagnant du 1",IF(J7&gt;J8,H7,H8))</f>
        <v>Gagnant du 1</v>
      </c>
      <c r="N6" s="171">
        <f>IF(O6=O7,0,IF(O6&lt;O7,0,2))</f>
        <v>0</v>
      </c>
      <c r="O6" s="573"/>
      <c r="P6" s="44"/>
      <c r="Q6" s="570" t="s">
        <v>2</v>
      </c>
      <c r="R6" s="528" t="str">
        <f>IF(O6=O7,"Gagnant du 3",IF(O6&gt;O7,M6,M7))</f>
        <v>Gagnant du 3</v>
      </c>
      <c r="S6" s="207">
        <v>1</v>
      </c>
      <c r="T6" s="207">
        <v>1</v>
      </c>
      <c r="U6" s="44"/>
      <c r="V6" s="44"/>
      <c r="W6" s="44" t="s">
        <v>9</v>
      </c>
      <c r="X6" s="44" t="s">
        <v>108</v>
      </c>
      <c r="Y6" s="44" t="s">
        <v>107</v>
      </c>
      <c r="Z6" s="61"/>
      <c r="AA6" s="113"/>
      <c r="AB6" s="151" t="s">
        <v>111</v>
      </c>
      <c r="AC6" s="304" t="s">
        <v>189</v>
      </c>
      <c r="AD6" s="304" t="s">
        <v>190</v>
      </c>
      <c r="AE6" s="304" t="s">
        <v>191</v>
      </c>
      <c r="AF6" s="303" t="s">
        <v>227</v>
      </c>
      <c r="AG6" s="151" t="s">
        <v>193</v>
      </c>
      <c r="AH6" s="295" t="s">
        <v>109</v>
      </c>
      <c r="AI6" s="305" t="s">
        <v>110</v>
      </c>
      <c r="AJ6" s="433" t="s">
        <v>238</v>
      </c>
      <c r="AK6" s="366" t="s">
        <v>111</v>
      </c>
      <c r="AL6" s="365" t="s">
        <v>192</v>
      </c>
      <c r="AN6" s="238" t="s">
        <v>12</v>
      </c>
      <c r="AO6" s="112" t="s">
        <v>56</v>
      </c>
      <c r="AP6" s="239" t="s">
        <v>241</v>
      </c>
      <c r="AQ6" s="239" t="s">
        <v>16</v>
      </c>
    </row>
    <row r="7" spans="1:43" ht="27" customHeight="1" thickBot="1">
      <c r="A7" s="87">
        <v>1</v>
      </c>
      <c r="B7" s="555"/>
      <c r="C7" s="556"/>
      <c r="D7" s="89"/>
      <c r="E7" s="44"/>
      <c r="F7" s="573" t="s">
        <v>2</v>
      </c>
      <c r="G7" s="475">
        <v>1</v>
      </c>
      <c r="H7" s="182" t="str">
        <f>IF(ISNA(MATCH(G7,$D$7:$D$16,0)),"",INDEX(B$7:$B$16,MATCH(G7,$D$7:$D$16,0)))</f>
        <v/>
      </c>
      <c r="I7" s="125">
        <f>IF(J7=J8,0,IF(J7&lt;J8,2,4))</f>
        <v>0</v>
      </c>
      <c r="J7" s="576"/>
      <c r="K7" s="47"/>
      <c r="L7" s="571">
        <v>3</v>
      </c>
      <c r="M7" s="520" t="str">
        <f>IF(J9=J10,"Gagnant du 2",IF(J9&gt;J10,H9,H10))</f>
        <v>Gagnant du 2</v>
      </c>
      <c r="N7" s="129">
        <f>IF(O6=O7,0,IF(O6&gt;O7,0,2))</f>
        <v>0</v>
      </c>
      <c r="O7" s="574"/>
      <c r="P7" s="47"/>
      <c r="Q7" s="282">
        <v>6</v>
      </c>
      <c r="R7" s="118" t="s">
        <v>105</v>
      </c>
      <c r="S7" s="261">
        <v>0</v>
      </c>
      <c r="T7" s="749"/>
      <c r="U7" s="47"/>
      <c r="V7" s="570" t="s">
        <v>2</v>
      </c>
      <c r="W7" s="528" t="str">
        <f>IF(T6=T7,"Gagnant du 6",IF(T6&gt;T7,R6,R7))</f>
        <v>Gagnant du 3</v>
      </c>
      <c r="X7" s="177">
        <f>IF(Y7=Y8,0,IF(Y7&lt;Y8,0,2))</f>
        <v>0</v>
      </c>
      <c r="Y7" s="576"/>
      <c r="Z7" s="61"/>
      <c r="AA7" s="208">
        <v>1</v>
      </c>
      <c r="AB7" s="307">
        <f>+B7</f>
        <v>0</v>
      </c>
      <c r="AC7" s="211" t="str">
        <f>IF(ISNA(VLOOKUP(AB7,$H$7:$I$16,2,0)),"",VLOOKUP(AB7,$H$7:$I$16,2,0))</f>
        <v/>
      </c>
      <c r="AD7" s="211" t="str">
        <f>IF(ISNA(VLOOKUP(AB7,$M$6:$N$18,2,0)),"",VLOOKUP(AB7,$M$6:$N$18,2,0))</f>
        <v/>
      </c>
      <c r="AE7" s="211" t="str">
        <f>IF(ISNA(VLOOKUP(AB7,$R$6:$S$19,3,0)),"",VLOOKUP(AB7,$R$6:$S$19,2,0))</f>
        <v/>
      </c>
      <c r="AF7" s="296" t="str">
        <f>IF(ISNA(VLOOKUP(AB7,$W$7:$X$14,2,0)),"",VLOOKUP(AB7,$W$7:$X$14,2,0))</f>
        <v/>
      </c>
      <c r="AG7" s="323">
        <f>SUM(AC7:AF7)</f>
        <v>0</v>
      </c>
      <c r="AH7" s="299">
        <f>IF(OR(AB7="",AG7=""),"",RANK(AG7,$AG$7:$AG$16)+COUNTIF(AB$7:AB$16,"&lt;="&amp;AB7+1)/10000+ROW()/100000)</f>
        <v>1.0009699999999999</v>
      </c>
      <c r="AI7" s="649">
        <f>IF(AB7="","",SMALL(AH$7:AH$16,ROWS(AL7:AL$7)))</f>
        <v>1.0001599999999999</v>
      </c>
      <c r="AJ7" s="323">
        <f>IF(AI7="","",1)</f>
        <v>1</v>
      </c>
      <c r="AK7" s="445" t="str">
        <f>IF(OR(AB7="",AG7=""),"",INDEX($AB$7:$AB$16,MATCH(AI7,$AH$7:$AH$16,0)))</f>
        <v>OFFICE</v>
      </c>
      <c r="AL7" s="446">
        <f>IF(AB7="","",INDEX($AG$7:$AG$16,MATCH(AI7,$AH$7:$AH$16,0)))</f>
        <v>0</v>
      </c>
      <c r="AN7" s="570" t="s">
        <v>115</v>
      </c>
      <c r="AO7" s="491">
        <v>2</v>
      </c>
      <c r="AP7" s="241" t="s">
        <v>322</v>
      </c>
      <c r="AQ7" s="256" t="s">
        <v>323</v>
      </c>
    </row>
    <row r="8" spans="1:43" ht="27" customHeight="1" thickBot="1">
      <c r="A8" s="94">
        <v>2</v>
      </c>
      <c r="B8" s="557"/>
      <c r="C8" s="558"/>
      <c r="D8" s="96"/>
      <c r="E8" s="44"/>
      <c r="F8" s="574">
        <v>1</v>
      </c>
      <c r="G8" s="476">
        <v>2</v>
      </c>
      <c r="H8" s="183" t="str">
        <f>IF(ISNA(MATCH(G8,$D$7:$D$16,0)),"",INDEX(B$7:$B$16,MATCH(G8,$D$7:$D$16,0)))</f>
        <v/>
      </c>
      <c r="I8" s="129">
        <f>IF(J7=J8,0,IF(J7&gt;J8,2,4))</f>
        <v>0</v>
      </c>
      <c r="J8" s="577"/>
      <c r="K8" s="44"/>
      <c r="L8" s="570" t="s">
        <v>2</v>
      </c>
      <c r="M8" s="169" t="s">
        <v>105</v>
      </c>
      <c r="N8" s="216">
        <v>0</v>
      </c>
      <c r="O8" s="747"/>
      <c r="P8" s="44"/>
      <c r="Q8" s="570" t="s">
        <v>2</v>
      </c>
      <c r="R8" s="519" t="str">
        <f>IF(O8=O9,"Gagnant du 5",IF(O8&gt;O9,M8,M9))</f>
        <v>Gagnant du 4</v>
      </c>
      <c r="S8" s="171">
        <f>IF(T8=T9,0,IF(T8&lt;T9,0,2))</f>
        <v>0</v>
      </c>
      <c r="T8" s="581"/>
      <c r="U8" s="44"/>
      <c r="V8" s="571">
        <v>4</v>
      </c>
      <c r="W8" s="520" t="str">
        <f>IF(T8=T9,"Gagnant du 2",IF(T8&gt;T9,R8,R9))</f>
        <v>Gagnant du 2</v>
      </c>
      <c r="X8" s="130">
        <f>IF(Y7=Y8,0,IF(Y7&gt;Y8,0,2))</f>
        <v>0</v>
      </c>
      <c r="Y8" s="577"/>
      <c r="Z8" s="113"/>
      <c r="AA8" s="209">
        <v>2</v>
      </c>
      <c r="AB8" s="332">
        <f t="shared" ref="AB8:AB16" si="0">+B8</f>
        <v>0</v>
      </c>
      <c r="AC8" s="210" t="str">
        <f t="shared" ref="AC8:AC16" si="1">IF(ISNA(VLOOKUP(AB8,$H$7:$I$16,2,0)),"",VLOOKUP(AB8,$H$7:$I$16,2,0))</f>
        <v/>
      </c>
      <c r="AD8" s="210" t="str">
        <f t="shared" ref="AD8:AD16" si="2">IF(ISNA(VLOOKUP(AB8,$M$6:$N$18,2,0)),"",VLOOKUP(AB8,$M$6:$N$18,2,0))</f>
        <v/>
      </c>
      <c r="AE8" s="210" t="str">
        <f t="shared" ref="AE8:AE16" si="3">IF(ISNA(VLOOKUP(AB8,$R$6:$S$19,3,0)),"",VLOOKUP(AB8,$R$6:$S$19,2,0))</f>
        <v/>
      </c>
      <c r="AF8" s="350" t="str">
        <f t="shared" ref="AF8:AF16" si="4">IF(ISNA(VLOOKUP(AB8,$W$7:$X$14,2,0)),"",VLOOKUP(AB8,$W$7:$X$14,2,0))</f>
        <v/>
      </c>
      <c r="AG8" s="507">
        <f t="shared" ref="AG8:AG16" si="5">SUM(AC8:AF8)</f>
        <v>0</v>
      </c>
      <c r="AH8" s="299">
        <f t="shared" ref="AH8:AH16" si="6">IF(OR(AB8="",AG8=""),"",RANK(AG8,$AG$7:$AG$16)+COUNTIF(AB$7:AB$16,"&lt;="&amp;AB8+1)/10000+ROW()/100000)</f>
        <v>1.00098</v>
      </c>
      <c r="AI8" s="649">
        <f>IF(AB8="","",SMALL(AH$7:AH$16,ROWS(AL$7:AL8)))</f>
        <v>1.0009699999999999</v>
      </c>
      <c r="AJ8" s="324">
        <f>IF(AI8="","",IF(AND(AL7=AL8),AJ7,$AJ$7+1))</f>
        <v>1</v>
      </c>
      <c r="AK8" s="437">
        <f t="shared" ref="AK8:AK16" si="7">IF(OR(AB8="",AG8=""),"",INDEX($AB$7:$AB$16,MATCH(AI8,$AH$7:$AH$16,0)))</f>
        <v>0</v>
      </c>
      <c r="AL8" s="438">
        <f t="shared" ref="AL8:AL16" si="8">IF(AB8="","",INDEX($AG$7:$AG$16,MATCH(AI8,$AH$7:$AH$16,0)))</f>
        <v>0</v>
      </c>
      <c r="AN8" s="580" t="s">
        <v>15</v>
      </c>
      <c r="AO8" s="492">
        <v>2</v>
      </c>
      <c r="AP8" s="243" t="s">
        <v>258</v>
      </c>
      <c r="AQ8" s="266" t="s">
        <v>311</v>
      </c>
    </row>
    <row r="9" spans="1:43" ht="27" customHeight="1" thickBot="1">
      <c r="A9" s="94">
        <v>3</v>
      </c>
      <c r="B9" s="559"/>
      <c r="C9" s="560"/>
      <c r="D9" s="96"/>
      <c r="E9" s="44"/>
      <c r="F9" s="573" t="s">
        <v>2</v>
      </c>
      <c r="G9" s="475">
        <v>3</v>
      </c>
      <c r="H9" s="182" t="str">
        <f>IF(ISNA(MATCH(G9,$D$7:$D$16,0)),"",INDEX(B$7:$B$16,MATCH(G9,$D$7:$D$16,0)))</f>
        <v/>
      </c>
      <c r="I9" s="125">
        <f>IF(J9=J10,0,IF(J9&lt;J10,2,4))</f>
        <v>0</v>
      </c>
      <c r="J9" s="578"/>
      <c r="K9" s="44"/>
      <c r="L9" s="282">
        <v>5</v>
      </c>
      <c r="M9" s="520" t="str">
        <f>IF(J13=J14,"Gagnant du 4",IF(J13&gt;J14,H13,H14))</f>
        <v>Gagnant du 4</v>
      </c>
      <c r="N9" s="217">
        <v>1</v>
      </c>
      <c r="O9" s="748">
        <v>1</v>
      </c>
      <c r="P9" s="44"/>
      <c r="Q9" s="571">
        <v>2</v>
      </c>
      <c r="R9" s="627" t="str">
        <f>IF(O10=O11,"Gagnant du 7",IF(O10&gt;O11,M10,M11))</f>
        <v>Gagnant du 7</v>
      </c>
      <c r="S9" s="129">
        <f>IF(T8=T9,0,IF(T8&gt;T9,0,2))</f>
        <v>0</v>
      </c>
      <c r="T9" s="583"/>
      <c r="U9" s="44"/>
      <c r="V9" s="44"/>
      <c r="W9" s="131"/>
      <c r="X9" s="131"/>
      <c r="Y9" s="44"/>
      <c r="Z9" s="113"/>
      <c r="AA9" s="209">
        <v>3</v>
      </c>
      <c r="AB9" s="332">
        <f t="shared" si="0"/>
        <v>0</v>
      </c>
      <c r="AC9" s="210" t="str">
        <f t="shared" si="1"/>
        <v/>
      </c>
      <c r="AD9" s="210" t="str">
        <f t="shared" si="2"/>
        <v/>
      </c>
      <c r="AE9" s="210" t="str">
        <f t="shared" si="3"/>
        <v/>
      </c>
      <c r="AF9" s="350" t="str">
        <f t="shared" si="4"/>
        <v/>
      </c>
      <c r="AG9" s="507">
        <f t="shared" si="5"/>
        <v>0</v>
      </c>
      <c r="AH9" s="299">
        <f t="shared" si="6"/>
        <v>1.0009899999999998</v>
      </c>
      <c r="AI9" s="649">
        <f>IF(AB9="","",SMALL(AH$7:AH$16,ROWS(AL$7:AL9)))</f>
        <v>1.00098</v>
      </c>
      <c r="AJ9" s="324">
        <f>IF(AI9="","",IF(AND(AL8=AL9),AJ8,$AJ$7+2))</f>
        <v>1</v>
      </c>
      <c r="AK9" s="437">
        <f t="shared" si="7"/>
        <v>0</v>
      </c>
      <c r="AL9" s="438">
        <f t="shared" si="8"/>
        <v>0</v>
      </c>
      <c r="AN9" s="580" t="s">
        <v>114</v>
      </c>
      <c r="AO9" s="493">
        <v>2</v>
      </c>
      <c r="AP9" s="247" t="s">
        <v>256</v>
      </c>
      <c r="AQ9" s="258" t="s">
        <v>316</v>
      </c>
    </row>
    <row r="10" spans="1:43" ht="27" customHeight="1" thickBot="1">
      <c r="A10" s="94">
        <v>4</v>
      </c>
      <c r="B10" s="557"/>
      <c r="C10" s="558"/>
      <c r="D10" s="96"/>
      <c r="E10" s="44"/>
      <c r="F10" s="574">
        <v>2</v>
      </c>
      <c r="G10" s="476">
        <v>4</v>
      </c>
      <c r="H10" s="183" t="str">
        <f>IF(ISNA(MATCH(G10,$D$7:$D$16,0)),"",INDEX(B$7:$B$16,MATCH(G10,$D$7:$D$16,0)))</f>
        <v/>
      </c>
      <c r="I10" s="129">
        <f>IF(J9=J10,0,IF(J9&gt;J10,2,4))</f>
        <v>0</v>
      </c>
      <c r="J10" s="579"/>
      <c r="K10" s="47"/>
      <c r="L10" s="570" t="s">
        <v>2</v>
      </c>
      <c r="M10" s="528" t="str">
        <f>IF(J15=J16,"Gagnant du 5",IF(J15&gt;J16,H15,H16))</f>
        <v/>
      </c>
      <c r="N10" s="146">
        <f>IF(O10=O11,0,IF(O10&lt;O11,0,2))</f>
        <v>0</v>
      </c>
      <c r="O10" s="573"/>
      <c r="P10" s="47"/>
      <c r="Q10" s="44"/>
      <c r="R10" s="612"/>
      <c r="S10" s="131"/>
      <c r="T10" s="44"/>
      <c r="U10" s="47"/>
      <c r="V10" s="44"/>
      <c r="W10" s="131"/>
      <c r="X10" s="131"/>
      <c r="Y10" s="44"/>
      <c r="Z10" s="61"/>
      <c r="AA10" s="209">
        <v>4</v>
      </c>
      <c r="AB10" s="332">
        <f t="shared" si="0"/>
        <v>0</v>
      </c>
      <c r="AC10" s="210" t="str">
        <f t="shared" si="1"/>
        <v/>
      </c>
      <c r="AD10" s="210" t="str">
        <f t="shared" si="2"/>
        <v/>
      </c>
      <c r="AE10" s="210" t="str">
        <f t="shared" si="3"/>
        <v/>
      </c>
      <c r="AF10" s="350" t="str">
        <f t="shared" si="4"/>
        <v/>
      </c>
      <c r="AG10" s="507">
        <f t="shared" si="5"/>
        <v>0</v>
      </c>
      <c r="AH10" s="299">
        <f t="shared" si="6"/>
        <v>1.0009999999999999</v>
      </c>
      <c r="AI10" s="649">
        <f>IF(AB10="","",SMALL(AH$7:AH$16,ROWS(AL$7:AL10)))</f>
        <v>1.0009899999999998</v>
      </c>
      <c r="AJ10" s="324">
        <f>IF(AI10="","",IF(AND(AL9=AL10),AJ9,$AJ$7+3))</f>
        <v>1</v>
      </c>
      <c r="AK10" s="437">
        <f t="shared" si="7"/>
        <v>0</v>
      </c>
      <c r="AL10" s="438">
        <f t="shared" si="8"/>
        <v>0</v>
      </c>
      <c r="AN10" s="660" t="s">
        <v>118</v>
      </c>
      <c r="AO10" s="491">
        <v>2</v>
      </c>
      <c r="AP10" s="245" t="s">
        <v>248</v>
      </c>
      <c r="AQ10" s="727" t="s">
        <v>321</v>
      </c>
    </row>
    <row r="11" spans="1:43" ht="27" customHeight="1" thickBot="1">
      <c r="A11" s="94">
        <v>5</v>
      </c>
      <c r="B11" s="559"/>
      <c r="C11" s="560"/>
      <c r="D11" s="96"/>
      <c r="E11" s="44"/>
      <c r="F11" s="573" t="s">
        <v>2</v>
      </c>
      <c r="G11" s="475">
        <v>5</v>
      </c>
      <c r="H11" s="182" t="str">
        <f>IF(ISNA(MATCH(G11,$D$7:$D$16,0)),"",INDEX(B$7:$B$16,MATCH(G11,$D$7:$D$16,0)))</f>
        <v/>
      </c>
      <c r="I11" s="125">
        <f>IF(J11=J12,0,IF(J11&lt;J12,2,4))</f>
        <v>0</v>
      </c>
      <c r="J11" s="576"/>
      <c r="K11" s="44"/>
      <c r="L11" s="571">
        <v>7</v>
      </c>
      <c r="M11" s="534" t="str">
        <f>IF(J11=J12,"Gagnant du 3",IF(J11&gt;J12,H11,H12))</f>
        <v>Gagnant du 3</v>
      </c>
      <c r="N11" s="129">
        <f>IF(O10=O11,0,IF(O10&gt;O11,0,2))</f>
        <v>0</v>
      </c>
      <c r="O11" s="574"/>
      <c r="P11" s="44"/>
      <c r="Q11" s="44"/>
      <c r="R11" s="131" t="s">
        <v>51</v>
      </c>
      <c r="S11" s="131"/>
      <c r="T11" s="44"/>
      <c r="U11" s="44"/>
      <c r="V11" s="47"/>
      <c r="W11" s="147"/>
      <c r="X11" s="147"/>
      <c r="Y11" s="47"/>
      <c r="Z11" s="113"/>
      <c r="AA11" s="209">
        <v>5</v>
      </c>
      <c r="AB11" s="332">
        <f t="shared" si="0"/>
        <v>0</v>
      </c>
      <c r="AC11" s="210" t="str">
        <f t="shared" si="1"/>
        <v/>
      </c>
      <c r="AD11" s="210" t="str">
        <f t="shared" si="2"/>
        <v/>
      </c>
      <c r="AE11" s="210" t="str">
        <f t="shared" si="3"/>
        <v/>
      </c>
      <c r="AF11" s="350" t="str">
        <f t="shared" si="4"/>
        <v/>
      </c>
      <c r="AG11" s="507">
        <f t="shared" si="5"/>
        <v>0</v>
      </c>
      <c r="AH11" s="299">
        <f t="shared" si="6"/>
        <v>1.00101</v>
      </c>
      <c r="AI11" s="649">
        <f>IF(AB11="","",SMALL(AH$7:AH$16,ROWS(AL$7:AL11)))</f>
        <v>1.0009999999999999</v>
      </c>
      <c r="AJ11" s="324">
        <f>IF(AI11="","",IF(AND(AL10=AL11),AJ10,$AJ$7+4))</f>
        <v>1</v>
      </c>
      <c r="AK11" s="437">
        <f t="shared" si="7"/>
        <v>0</v>
      </c>
      <c r="AL11" s="438">
        <f t="shared" si="8"/>
        <v>0</v>
      </c>
      <c r="AN11" s="726" t="s">
        <v>20</v>
      </c>
      <c r="AO11" s="493">
        <v>2</v>
      </c>
      <c r="AP11" s="247" t="s">
        <v>248</v>
      </c>
      <c r="AQ11" s="728" t="s">
        <v>317</v>
      </c>
    </row>
    <row r="12" spans="1:43" ht="27" customHeight="1" thickBot="1">
      <c r="A12" s="94">
        <v>6</v>
      </c>
      <c r="B12" s="557"/>
      <c r="C12" s="558"/>
      <c r="D12" s="96"/>
      <c r="E12" s="44"/>
      <c r="F12" s="574">
        <v>3</v>
      </c>
      <c r="G12" s="476">
        <v>6</v>
      </c>
      <c r="H12" s="183" t="str">
        <f>IF(ISNA(MATCH(G12,$D$7:$D$16,0)),"",INDEX(B$7:$B$16,MATCH(G12,$D$7:$D$16,0)))</f>
        <v/>
      </c>
      <c r="I12" s="129">
        <f>IF(J11=J12,0,IF(J11&gt;J12,2,4))</f>
        <v>0</v>
      </c>
      <c r="J12" s="577"/>
      <c r="K12" s="44"/>
      <c r="M12" s="612"/>
      <c r="N12" s="192"/>
      <c r="P12" s="44"/>
      <c r="Q12" s="522" t="s">
        <v>2</v>
      </c>
      <c r="R12" s="528" t="str">
        <f>IF(O15=O16,"Gagnant du 8",IF(O15&gt;O16,M15,M16))</f>
        <v>Gagnant du 8</v>
      </c>
      <c r="S12" s="207">
        <v>0.5</v>
      </c>
      <c r="T12" s="207">
        <v>1</v>
      </c>
      <c r="U12" s="44"/>
      <c r="V12" s="44"/>
      <c r="W12" s="131" t="s">
        <v>10</v>
      </c>
      <c r="X12" s="167"/>
      <c r="Y12" s="44"/>
      <c r="Z12" s="61"/>
      <c r="AA12" s="209">
        <v>6</v>
      </c>
      <c r="AB12" s="332">
        <f t="shared" si="0"/>
        <v>0</v>
      </c>
      <c r="AC12" s="210" t="str">
        <f t="shared" si="1"/>
        <v/>
      </c>
      <c r="AD12" s="210" t="str">
        <f t="shared" si="2"/>
        <v/>
      </c>
      <c r="AE12" s="210" t="str">
        <f t="shared" si="3"/>
        <v/>
      </c>
      <c r="AF12" s="350" t="str">
        <f t="shared" si="4"/>
        <v/>
      </c>
      <c r="AG12" s="507">
        <f t="shared" si="5"/>
        <v>0</v>
      </c>
      <c r="AH12" s="299">
        <f t="shared" si="6"/>
        <v>1.0010199999999998</v>
      </c>
      <c r="AI12" s="649">
        <f>IF(AB12="","",SMALL(AH$7:AH$16,ROWS(AL$7:AL12)))</f>
        <v>1.00101</v>
      </c>
      <c r="AJ12" s="324">
        <f>IF(AI12="","",IF(AND(AL11=AL12),AJ11,$AJ$7+5))</f>
        <v>1</v>
      </c>
      <c r="AK12" s="437">
        <f t="shared" si="7"/>
        <v>0</v>
      </c>
      <c r="AL12" s="438">
        <f t="shared" si="8"/>
        <v>0</v>
      </c>
      <c r="AN12" s="724" t="s">
        <v>117</v>
      </c>
      <c r="AO12" s="503">
        <v>2</v>
      </c>
      <c r="AP12" s="245" t="s">
        <v>267</v>
      </c>
      <c r="AQ12" s="458">
        <v>4.5</v>
      </c>
    </row>
    <row r="13" spans="1:43" ht="27" customHeight="1" thickBot="1">
      <c r="A13" s="94">
        <v>7</v>
      </c>
      <c r="B13" s="559"/>
      <c r="C13" s="560"/>
      <c r="D13" s="96"/>
      <c r="E13" s="44"/>
      <c r="F13" s="573" t="s">
        <v>2</v>
      </c>
      <c r="G13" s="475">
        <v>7</v>
      </c>
      <c r="H13" s="182" t="str">
        <f>IF(ISNA(MATCH(G13,$D$7:$D$16,0)),"",INDEX(B$7:$B$16,MATCH(G13,$D$7:$D$16,0)))</f>
        <v/>
      </c>
      <c r="I13" s="125">
        <f>IF(J13=J14,0,IF(J13&lt;J14,2,4))</f>
        <v>0</v>
      </c>
      <c r="J13" s="578"/>
      <c r="K13" s="44"/>
      <c r="M13" s="655"/>
      <c r="N13" s="192"/>
      <c r="P13" s="44"/>
      <c r="Q13" s="282">
        <v>5</v>
      </c>
      <c r="R13" s="118" t="s">
        <v>105</v>
      </c>
      <c r="S13" s="261">
        <v>0</v>
      </c>
      <c r="T13" s="749"/>
      <c r="U13" s="44"/>
      <c r="V13" s="522" t="s">
        <v>2</v>
      </c>
      <c r="W13" s="528" t="str">
        <f>IF(T12=T13,"Gagnant du 5",IF(T12&gt;T13,R12,R13))</f>
        <v>Gagnant du 8</v>
      </c>
      <c r="X13" s="172">
        <f>IF(Y13=Y14,0,IF(Y13&lt;Y14,0,1))</f>
        <v>0</v>
      </c>
      <c r="Y13" s="631"/>
      <c r="Z13" s="61"/>
      <c r="AA13" s="209">
        <v>7</v>
      </c>
      <c r="AB13" s="332">
        <f t="shared" si="0"/>
        <v>0</v>
      </c>
      <c r="AC13" s="210" t="str">
        <f t="shared" si="1"/>
        <v/>
      </c>
      <c r="AD13" s="210" t="str">
        <f t="shared" si="2"/>
        <v/>
      </c>
      <c r="AE13" s="210" t="str">
        <f t="shared" si="3"/>
        <v/>
      </c>
      <c r="AF13" s="350" t="str">
        <f t="shared" si="4"/>
        <v/>
      </c>
      <c r="AG13" s="507">
        <f t="shared" si="5"/>
        <v>0</v>
      </c>
      <c r="AH13" s="299">
        <f t="shared" si="6"/>
        <v>1.0010299999999999</v>
      </c>
      <c r="AI13" s="649">
        <f>IF(AB13="","",SMALL(AH$7:AH$16,ROWS(AL$7:AL13)))</f>
        <v>1.0010199999999998</v>
      </c>
      <c r="AJ13" s="324">
        <f>IF(AI13="","",IF(AND(AL12=AL13),AJ12,$AJ$7+6))</f>
        <v>1</v>
      </c>
      <c r="AK13" s="437">
        <f t="shared" si="7"/>
        <v>0</v>
      </c>
      <c r="AL13" s="438">
        <f t="shared" si="8"/>
        <v>0</v>
      </c>
      <c r="AN13" s="664" t="s">
        <v>18</v>
      </c>
      <c r="AO13" s="497">
        <v>2</v>
      </c>
      <c r="AP13" s="247" t="s">
        <v>270</v>
      </c>
      <c r="AQ13" s="258">
        <v>3.5</v>
      </c>
    </row>
    <row r="14" spans="1:43" ht="27" customHeight="1" thickBot="1">
      <c r="A14" s="94">
        <v>8</v>
      </c>
      <c r="B14" s="557"/>
      <c r="C14" s="558"/>
      <c r="D14" s="96"/>
      <c r="E14" s="44"/>
      <c r="F14" s="574">
        <v>4</v>
      </c>
      <c r="G14" s="476">
        <v>8</v>
      </c>
      <c r="H14" s="183" t="str">
        <f>IF(ISNA(MATCH(G14,$D$7:$D$16,0)),"",INDEX(B$7:$B$16,MATCH(G14,$D$7:$D$16,0)))</f>
        <v/>
      </c>
      <c r="I14" s="129">
        <f>IF(J13=J14,0,IF(J13&gt;J14,2,4))</f>
        <v>0</v>
      </c>
      <c r="J14" s="579"/>
      <c r="K14" s="44"/>
      <c r="L14" s="44"/>
      <c r="M14" s="131" t="s">
        <v>7</v>
      </c>
      <c r="N14" s="167"/>
      <c r="O14" s="195"/>
      <c r="P14" s="44"/>
      <c r="Q14" s="522" t="s">
        <v>2</v>
      </c>
      <c r="R14" s="528" t="str">
        <f>IF(O17=O18,"Gagnant du 2",IF(O17&gt;O18,M17,M18))</f>
        <v>Gagnant du 2</v>
      </c>
      <c r="S14" s="207">
        <v>0.5</v>
      </c>
      <c r="T14" s="207">
        <v>1</v>
      </c>
      <c r="U14" s="44"/>
      <c r="V14" s="524">
        <v>1</v>
      </c>
      <c r="W14" s="520" t="str">
        <f>IF(T14=T15,"Gagnant du 5",IF(T14&gt;T15,R14,R15))</f>
        <v>Gagnant du 2</v>
      </c>
      <c r="X14" s="130">
        <f>IF(Y13=Y14,0,IF(Y13&gt;Y14,0,1))</f>
        <v>0</v>
      </c>
      <c r="Y14" s="632"/>
      <c r="Z14" s="113"/>
      <c r="AA14" s="209">
        <v>8</v>
      </c>
      <c r="AB14" s="332">
        <f t="shared" si="0"/>
        <v>0</v>
      </c>
      <c r="AC14" s="210" t="str">
        <f t="shared" si="1"/>
        <v/>
      </c>
      <c r="AD14" s="210" t="str">
        <f t="shared" si="2"/>
        <v/>
      </c>
      <c r="AE14" s="210" t="str">
        <f t="shared" si="3"/>
        <v/>
      </c>
      <c r="AF14" s="350" t="str">
        <f t="shared" si="4"/>
        <v/>
      </c>
      <c r="AG14" s="507">
        <f t="shared" si="5"/>
        <v>0</v>
      </c>
      <c r="AH14" s="299">
        <f t="shared" si="6"/>
        <v>1.0010399999999999</v>
      </c>
      <c r="AI14" s="649">
        <f>IF(AB14="","",SMALL(AH$7:AH$16,ROWS(AL$7:AL14)))</f>
        <v>1.0010299999999999</v>
      </c>
      <c r="AJ14" s="324">
        <f>IF(AI14="","",IF(AND(AL13=AL14),AJ13,$AJ$7+7))</f>
        <v>1</v>
      </c>
      <c r="AK14" s="437">
        <f t="shared" si="7"/>
        <v>0</v>
      </c>
      <c r="AL14" s="438">
        <f t="shared" si="8"/>
        <v>0</v>
      </c>
      <c r="AN14" s="265" t="s">
        <v>116</v>
      </c>
      <c r="AO14" s="498">
        <v>2</v>
      </c>
      <c r="AP14" s="241" t="s">
        <v>246</v>
      </c>
      <c r="AQ14" s="136">
        <f t="shared" ref="AQ14:AQ15" si="9">SUM(AO14:AP14)</f>
        <v>2</v>
      </c>
    </row>
    <row r="15" spans="1:43" ht="27" customHeight="1" thickBot="1">
      <c r="A15" s="94">
        <v>9</v>
      </c>
      <c r="B15" s="559"/>
      <c r="C15" s="560"/>
      <c r="D15" s="96"/>
      <c r="E15" s="44"/>
      <c r="F15" s="573" t="s">
        <v>2</v>
      </c>
      <c r="G15" s="475">
        <v>9</v>
      </c>
      <c r="H15" s="182" t="str">
        <f>IF(ISNA(MATCH(G15,$D$7:$D$16,0)),"",INDEX(B$7:$B$16,MATCH(G15,$D$7:$D$16,0)))</f>
        <v/>
      </c>
      <c r="I15" s="216">
        <v>3</v>
      </c>
      <c r="J15" s="121">
        <v>1</v>
      </c>
      <c r="K15" s="44"/>
      <c r="L15" s="522" t="s">
        <v>2</v>
      </c>
      <c r="M15" s="528" t="str">
        <f>IF(J7=J8,"Perdant du 1",IF(J7&lt;J8,H7,H8))</f>
        <v>Perdant du 1</v>
      </c>
      <c r="N15" s="171">
        <f>IF(O15=O16,0,IF(O15&lt;O16,0,1))</f>
        <v>0</v>
      </c>
      <c r="O15" s="523"/>
      <c r="P15" s="44"/>
      <c r="Q15" s="282">
        <v>3</v>
      </c>
      <c r="R15" s="118" t="s">
        <v>105</v>
      </c>
      <c r="S15" s="261">
        <v>0</v>
      </c>
      <c r="T15" s="749"/>
      <c r="U15" s="44"/>
      <c r="V15" s="44"/>
      <c r="W15" s="44"/>
      <c r="X15" s="113"/>
      <c r="Y15" s="44"/>
      <c r="Z15" s="113"/>
      <c r="AA15" s="209">
        <v>9</v>
      </c>
      <c r="AB15" s="332">
        <f t="shared" si="0"/>
        <v>0</v>
      </c>
      <c r="AC15" s="210" t="str">
        <f t="shared" si="1"/>
        <v/>
      </c>
      <c r="AD15" s="210" t="str">
        <f t="shared" si="2"/>
        <v/>
      </c>
      <c r="AE15" s="210" t="str">
        <f t="shared" si="3"/>
        <v/>
      </c>
      <c r="AF15" s="350" t="str">
        <f t="shared" si="4"/>
        <v/>
      </c>
      <c r="AG15" s="507">
        <f t="shared" si="5"/>
        <v>0</v>
      </c>
      <c r="AH15" s="299">
        <f t="shared" si="6"/>
        <v>1.00105</v>
      </c>
      <c r="AI15" s="649">
        <f>IF(AB15="","",SMALL(AH$7:AH$16,ROWS(AL$7:AL15)))</f>
        <v>1.0010399999999999</v>
      </c>
      <c r="AJ15" s="324">
        <f>IF(AI15="","",IF(AND(AL14=AL15),AJ14,$AJ$7+8))</f>
        <v>1</v>
      </c>
      <c r="AK15" s="437">
        <f t="shared" si="7"/>
        <v>0</v>
      </c>
      <c r="AL15" s="438">
        <f t="shared" si="8"/>
        <v>0</v>
      </c>
      <c r="AN15" s="257" t="s">
        <v>116</v>
      </c>
      <c r="AO15" s="500">
        <v>2</v>
      </c>
      <c r="AP15" s="247" t="s">
        <v>246</v>
      </c>
      <c r="AQ15" s="138">
        <f t="shared" si="9"/>
        <v>2</v>
      </c>
    </row>
    <row r="16" spans="1:43" ht="27" customHeight="1" thickBot="1">
      <c r="A16" s="110">
        <v>10</v>
      </c>
      <c r="B16" s="200" t="s">
        <v>105</v>
      </c>
      <c r="C16" s="204"/>
      <c r="D16" s="159">
        <v>10</v>
      </c>
      <c r="E16" s="44"/>
      <c r="F16" s="170">
        <v>5</v>
      </c>
      <c r="G16" s="476">
        <v>10</v>
      </c>
      <c r="H16" s="444" t="str">
        <f>IF(ISNA(MATCH(G16,$D$7:$D$16,0)),"",INDEX(B$7:$B$16,MATCH(G16,$D$7:$D$16,0)))</f>
        <v>OFFICE</v>
      </c>
      <c r="I16" s="217">
        <v>0</v>
      </c>
      <c r="J16" s="752"/>
      <c r="K16" s="44"/>
      <c r="L16" s="524">
        <v>8</v>
      </c>
      <c r="M16" s="521" t="str">
        <f>IF(J9=J10,"Perdant du 2",IF(J9&lt;J10,H9,H10))</f>
        <v>Perdant du 2</v>
      </c>
      <c r="N16" s="129">
        <f>IF(O15=O16,0,IF(O15&gt;O16,0,1))</f>
        <v>0</v>
      </c>
      <c r="O16" s="525"/>
      <c r="P16" s="44"/>
      <c r="Q16" s="44"/>
      <c r="R16" s="131"/>
      <c r="S16" s="131"/>
      <c r="T16" s="44"/>
      <c r="U16" s="44"/>
      <c r="V16" s="44"/>
      <c r="W16" s="44"/>
      <c r="X16" s="113"/>
      <c r="Y16" s="44"/>
      <c r="Z16" s="113"/>
      <c r="AA16" s="358">
        <v>10</v>
      </c>
      <c r="AB16" s="378" t="str">
        <f t="shared" si="0"/>
        <v>OFFICE</v>
      </c>
      <c r="AC16" s="379">
        <f t="shared" si="1"/>
        <v>0</v>
      </c>
      <c r="AD16" s="379">
        <f t="shared" si="2"/>
        <v>0</v>
      </c>
      <c r="AE16" s="379">
        <f t="shared" si="3"/>
        <v>0</v>
      </c>
      <c r="AF16" s="429" t="str">
        <f t="shared" si="4"/>
        <v/>
      </c>
      <c r="AG16" s="430">
        <f t="shared" si="5"/>
        <v>0</v>
      </c>
      <c r="AH16" s="374">
        <f t="shared" si="6"/>
        <v>1.0001599999999999</v>
      </c>
      <c r="AI16" s="672">
        <f>IF(AB16="","",SMALL(AH$7:AH$16,ROWS(AL$7:AL16)))</f>
        <v>1.00105</v>
      </c>
      <c r="AJ16" s="736">
        <f>IF(AI16="","",IF(AND(AL15=AL16),AJ15,$AJ$7+9))</f>
        <v>1</v>
      </c>
      <c r="AK16" s="431">
        <f t="shared" si="7"/>
        <v>0</v>
      </c>
      <c r="AL16" s="432">
        <f t="shared" si="8"/>
        <v>0</v>
      </c>
    </row>
    <row r="17" spans="1:43" ht="27" customHeight="1" thickBot="1">
      <c r="E17" s="44"/>
      <c r="H17" s="144" t="s">
        <v>232</v>
      </c>
      <c r="K17" s="44"/>
      <c r="L17" s="522" t="s">
        <v>2</v>
      </c>
      <c r="M17" s="528" t="str">
        <f>IF(J11=J12,"Perdant du 3",IF(J11&lt;J12,H11,H12))</f>
        <v>Perdant du 3</v>
      </c>
      <c r="N17" s="146">
        <f>IF(O17=O18,0,IF(O17&lt;O18,0,1))</f>
        <v>0</v>
      </c>
      <c r="O17" s="523"/>
      <c r="P17" s="44"/>
      <c r="Q17" s="44"/>
      <c r="R17" s="147" t="s">
        <v>53</v>
      </c>
      <c r="S17" s="131"/>
      <c r="T17" s="44"/>
      <c r="U17" s="44"/>
      <c r="V17" s="44"/>
      <c r="W17" s="44"/>
      <c r="X17" s="113"/>
      <c r="Y17" s="44"/>
      <c r="Z17" s="113"/>
      <c r="AC17" s="161">
        <f>SUM(AC7:AC16)</f>
        <v>0</v>
      </c>
      <c r="AD17" s="161">
        <f>SUM(AD7:AD16)</f>
        <v>0</v>
      </c>
      <c r="AE17" s="161">
        <f>SUM(AE7:AE16)</f>
        <v>0</v>
      </c>
      <c r="AF17" s="161">
        <f>SUM(AF7:AF16)</f>
        <v>0</v>
      </c>
      <c r="AG17" s="161">
        <f>SUM(AG7:AG16)</f>
        <v>0</v>
      </c>
    </row>
    <row r="18" spans="1:43" ht="27" customHeight="1" thickBot="1">
      <c r="E18" s="44"/>
      <c r="K18" s="44"/>
      <c r="L18" s="524">
        <v>2</v>
      </c>
      <c r="M18" s="520" t="str">
        <f>IF(J13=J14,"Perdant du 4",IF(J13&lt;J14,H13,H14))</f>
        <v>Perdant du 4</v>
      </c>
      <c r="N18" s="129">
        <f>IF(O17=O18,0,IF(O17&gt;O18,0,1))</f>
        <v>0</v>
      </c>
      <c r="O18" s="525"/>
      <c r="P18" s="44"/>
      <c r="Q18" s="483" t="s">
        <v>2</v>
      </c>
      <c r="R18" s="528" t="str">
        <f>IF(O10=O11,"Perdant du 7",IF(O10&lt;O11,M10,M11))</f>
        <v>Perdant du 7</v>
      </c>
      <c r="S18" s="171">
        <f>IF(T18=T19,0,IF(T18&lt;T19,0,1))</f>
        <v>0</v>
      </c>
      <c r="T18" s="543"/>
      <c r="U18" s="44"/>
      <c r="Z18" s="61"/>
      <c r="AM18" s="249"/>
      <c r="AN18" s="61"/>
    </row>
    <row r="19" spans="1:43" ht="27" customHeight="1" thickBot="1">
      <c r="B19" s="763" t="s">
        <v>135</v>
      </c>
      <c r="C19" s="764"/>
      <c r="E19" s="44"/>
      <c r="K19" s="44"/>
      <c r="M19" s="197"/>
      <c r="P19" s="44"/>
      <c r="Q19" s="484">
        <v>4</v>
      </c>
      <c r="R19" s="627" t="str">
        <f>IF(O6=O7,"Perdant du 3",IF(O6&lt;O7,M6,M7))</f>
        <v>Perdant du 3</v>
      </c>
      <c r="S19" s="129">
        <f>IF(T18=T19,0,IF(T18&gt;T19,0,1))</f>
        <v>0</v>
      </c>
      <c r="T19" s="725"/>
      <c r="U19" s="44"/>
      <c r="Z19" s="61"/>
      <c r="AM19" s="249"/>
    </row>
    <row r="20" spans="1:43" ht="27" customHeight="1">
      <c r="B20" s="434" t="s">
        <v>45</v>
      </c>
      <c r="E20" s="44"/>
      <c r="K20" s="44"/>
      <c r="P20" s="44"/>
      <c r="U20" s="44"/>
      <c r="Z20" s="113"/>
      <c r="AO20" s="162"/>
    </row>
    <row r="21" spans="1:43" ht="24.75" customHeight="1" thickBot="1">
      <c r="A21" s="44"/>
      <c r="D21" s="44"/>
      <c r="F21" s="44"/>
      <c r="G21" s="47"/>
      <c r="H21" s="44"/>
      <c r="I21" s="44"/>
      <c r="J21" s="44"/>
      <c r="K21" s="44"/>
      <c r="L21" s="44"/>
      <c r="M21" s="44"/>
      <c r="N21" s="44"/>
      <c r="O21" s="11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M21" s="113"/>
      <c r="AO21" s="162"/>
      <c r="AP21" s="162"/>
      <c r="AQ21"/>
    </row>
    <row r="22" spans="1:43" ht="21.75" customHeight="1" thickBot="1">
      <c r="A22" s="44"/>
      <c r="B22" s="61"/>
      <c r="C22" s="61"/>
      <c r="D22" s="44"/>
      <c r="E22" s="44"/>
      <c r="F22" s="44"/>
      <c r="G22" s="47"/>
      <c r="H22" s="44"/>
      <c r="I22" s="135">
        <f>SUM(I7:I16)</f>
        <v>3</v>
      </c>
      <c r="J22" s="252"/>
      <c r="K22" s="201"/>
      <c r="L22" s="135"/>
      <c r="M22" s="135"/>
      <c r="N22" s="131">
        <f>SUM(N6:N18)</f>
        <v>1</v>
      </c>
      <c r="O22" s="135"/>
      <c r="P22" s="201"/>
      <c r="Q22" s="135"/>
      <c r="R22" s="135"/>
      <c r="S22" s="135">
        <f>SUM(S6:S20)</f>
        <v>2</v>
      </c>
      <c r="T22" s="135"/>
      <c r="U22" s="201"/>
      <c r="V22" s="135"/>
      <c r="W22" s="135"/>
      <c r="X22" s="135">
        <f>SUM(X7:X15)</f>
        <v>0</v>
      </c>
      <c r="Y22" s="135"/>
      <c r="Z22" s="201"/>
      <c r="AA22" s="201"/>
      <c r="AB22" s="131"/>
      <c r="AC22" s="131"/>
      <c r="AD22" s="131"/>
      <c r="AE22" s="131"/>
      <c r="AF22" s="131"/>
      <c r="AG22" s="131"/>
      <c r="AH22" s="131"/>
      <c r="AI22" s="131"/>
      <c r="AJ22" s="131"/>
      <c r="AK22" s="271">
        <f>SUM(I22:Z22)</f>
        <v>6</v>
      </c>
      <c r="AL22" s="359">
        <f>SUM(AL7:AL16)</f>
        <v>0</v>
      </c>
    </row>
    <row r="23" spans="1:43" ht="25.5" customHeight="1">
      <c r="A23" s="44"/>
      <c r="B23" s="162"/>
      <c r="C23" s="162"/>
      <c r="D23" s="44"/>
      <c r="E23" s="44"/>
      <c r="F23" s="44"/>
      <c r="G23" s="44"/>
      <c r="H23" s="47"/>
      <c r="I23" s="44"/>
      <c r="K23" s="44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N23" s="44"/>
      <c r="AO23" s="44"/>
      <c r="AP23" s="44"/>
      <c r="AQ23" s="44"/>
    </row>
    <row r="24" spans="1:43" s="44" customFormat="1" ht="24.75" customHeight="1">
      <c r="I24" s="44">
        <v>27</v>
      </c>
      <c r="N24" s="44">
        <v>7</v>
      </c>
      <c r="S24" s="44">
        <v>5</v>
      </c>
      <c r="X24" s="44">
        <v>3</v>
      </c>
      <c r="AK24" s="44">
        <f>SUM(I24:X24)</f>
        <v>42</v>
      </c>
      <c r="AL24" s="44">
        <v>42</v>
      </c>
      <c r="AN24" s="161"/>
      <c r="AO24" s="161"/>
      <c r="AP24" s="161"/>
      <c r="AQ24" s="161"/>
    </row>
    <row r="25" spans="1:43" ht="15.75" customHeight="1">
      <c r="R25"/>
      <c r="S25"/>
      <c r="T25"/>
      <c r="U25"/>
      <c r="V25"/>
    </row>
    <row r="26" spans="1:43" ht="24.75" customHeight="1">
      <c r="R26"/>
      <c r="S26"/>
      <c r="T26"/>
      <c r="U26"/>
      <c r="V26"/>
    </row>
    <row r="27" spans="1:43" ht="15.75" customHeight="1">
      <c r="R27"/>
      <c r="S27"/>
      <c r="T27"/>
      <c r="U27"/>
      <c r="V27"/>
    </row>
    <row r="28" spans="1:43" ht="18" customHeight="1">
      <c r="R28"/>
      <c r="S28"/>
      <c r="T28"/>
      <c r="U28"/>
      <c r="V28"/>
    </row>
    <row r="29" spans="1:43">
      <c r="R29"/>
      <c r="S29"/>
      <c r="T29"/>
      <c r="U29"/>
      <c r="V29"/>
    </row>
    <row r="30" spans="1:43" ht="27" customHeight="1">
      <c r="R30"/>
      <c r="S30"/>
      <c r="T30"/>
      <c r="U30"/>
      <c r="V30"/>
    </row>
    <row r="31" spans="1:43" ht="27" customHeight="1">
      <c r="B31" s="44"/>
      <c r="C31" s="44" t="s">
        <v>41</v>
      </c>
      <c r="D31" s="44"/>
      <c r="E31" s="44"/>
      <c r="F31" s="44"/>
    </row>
    <row r="32" spans="1:43" ht="27" customHeight="1">
      <c r="B32" s="144" t="s">
        <v>42</v>
      </c>
      <c r="C32" s="214" t="s">
        <v>101</v>
      </c>
      <c r="D32" s="44"/>
    </row>
    <row r="33" spans="2:4" ht="27" customHeight="1">
      <c r="B33" s="145" t="s">
        <v>43</v>
      </c>
      <c r="C33" s="214" t="s">
        <v>102</v>
      </c>
      <c r="D33" s="41"/>
    </row>
    <row r="34" spans="2:4" ht="27" customHeight="1"/>
    <row r="35" spans="2:4" ht="27" customHeight="1"/>
    <row r="36" spans="2:4" ht="27" customHeight="1"/>
    <row r="37" spans="2:4" ht="27" customHeight="1"/>
    <row r="38" spans="2:4" ht="27" customHeight="1"/>
    <row r="39" spans="2:4" ht="27" customHeight="1"/>
    <row r="40" spans="2:4" ht="27" customHeight="1"/>
    <row r="41" spans="2:4" ht="27" customHeight="1"/>
    <row r="42" spans="2:4" ht="27" customHeight="1"/>
    <row r="43" spans="2:4" ht="27" customHeight="1"/>
    <row r="44" spans="2:4" ht="27" customHeight="1"/>
    <row r="45" spans="2:4" ht="18.95" customHeight="1"/>
    <row r="46" spans="2:4" ht="18.95" customHeight="1"/>
    <row r="47" spans="2:4" ht="18.95" customHeight="1"/>
    <row r="48" spans="2:4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</sheetData>
  <sheetProtection password="CFC3" sheet="1" objects="1" scenarios="1" formatCells="0" formatColumns="0" formatRows="0" insertColumns="0" insertRows="0" insertHyperlinks="0" deleteColumns="0" deleteRows="0" sort="0"/>
  <mergeCells count="3">
    <mergeCell ref="AK5:AL5"/>
    <mergeCell ref="B19:C19"/>
    <mergeCell ref="AO5:AQ5"/>
  </mergeCells>
  <conditionalFormatting sqref="AJ7:AJ15">
    <cfRule type="duplicateValues" dxfId="14" priority="1"/>
  </conditionalFormatting>
  <pageMargins left="0.11811023622047245" right="0.19685039370078741" top="0.23622047244094491" bottom="0.31496062992125984" header="0.15748031496062992" footer="0.19685039370078741"/>
  <pageSetup orientation="landscape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15</vt:i4>
      </vt:variant>
    </vt:vector>
  </HeadingPairs>
  <TitlesOfParts>
    <vt:vector size="37" baseType="lpstr">
      <vt:lpstr>Règlement</vt:lpstr>
      <vt:lpstr>Shéma</vt:lpstr>
      <vt:lpstr>Formules</vt:lpstr>
      <vt:lpstr>Explication</vt:lpstr>
      <vt:lpstr>5 équ.Vok+</vt:lpstr>
      <vt:lpstr>6 équ.Vok+</vt:lpstr>
      <vt:lpstr>7 équ.Vok+</vt:lpstr>
      <vt:lpstr>8 équ.Vok+</vt:lpstr>
      <vt:lpstr>9 équ.Vok+</vt:lpstr>
      <vt:lpstr>10 équ.Vok+</vt:lpstr>
      <vt:lpstr>11 équ.Vok+</vt:lpstr>
      <vt:lpstr>12 équ.Vok+</vt:lpstr>
      <vt:lpstr>13 équ.Vok+</vt:lpstr>
      <vt:lpstr>14 équ.Vok+</vt:lpstr>
      <vt:lpstr>15 équ.Vok+</vt:lpstr>
      <vt:lpstr>16 équ.Vok+</vt:lpstr>
      <vt:lpstr>17 équ.Vok+</vt:lpstr>
      <vt:lpstr>18 équ.Vok+</vt:lpstr>
      <vt:lpstr>19 équ.Vok+</vt:lpstr>
      <vt:lpstr>20 équ.V+</vt:lpstr>
      <vt:lpstr>21 équ+.</vt:lpstr>
      <vt:lpstr>22 équi.</vt:lpstr>
      <vt:lpstr>'10 équ.Vok+'!Zone_d_impression</vt:lpstr>
      <vt:lpstr>'11 équ.Vok+'!Zone_d_impression</vt:lpstr>
      <vt:lpstr>'12 équ.Vok+'!Zone_d_impression</vt:lpstr>
      <vt:lpstr>'13 équ.Vok+'!Zone_d_impression</vt:lpstr>
      <vt:lpstr>'14 équ.Vok+'!Zone_d_impression</vt:lpstr>
      <vt:lpstr>'15 équ.Vok+'!Zone_d_impression</vt:lpstr>
      <vt:lpstr>'16 équ.Vok+'!Zone_d_impression</vt:lpstr>
      <vt:lpstr>'17 équ.Vok+'!Zone_d_impression</vt:lpstr>
      <vt:lpstr>'18 équ.Vok+'!Zone_d_impression</vt:lpstr>
      <vt:lpstr>'19 équ.Vok+'!Zone_d_impression</vt:lpstr>
      <vt:lpstr>'5 équ.Vok+'!Zone_d_impression</vt:lpstr>
      <vt:lpstr>'6 équ.Vok+'!Zone_d_impression</vt:lpstr>
      <vt:lpstr>'9 équ.Vok+'!Zone_d_impression</vt:lpstr>
      <vt:lpstr>Formules!Zone_d_impression</vt:lpstr>
      <vt:lpstr>Règlement!Zone_d_impression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Utilisateur</cp:lastModifiedBy>
  <cp:lastPrinted>2017-08-24T19:30:29Z</cp:lastPrinted>
  <dcterms:created xsi:type="dcterms:W3CDTF">2013-08-10T18:35:13Z</dcterms:created>
  <dcterms:modified xsi:type="dcterms:W3CDTF">2021-12-13T09:44:25Z</dcterms:modified>
</cp:coreProperties>
</file>