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806" activeTab="2"/>
  </bookViews>
  <sheets>
    <sheet name="5ème J_Satillieu_M4" sheetId="16" r:id="rId1"/>
    <sheet name="Déroulé" sheetId="15" r:id="rId2"/>
    <sheet name="Parties groupes_V" sheetId="11" r:id="rId3"/>
    <sheet name="Phases Finales" sheetId="12" r:id="rId4"/>
    <sheet name="Classement" sheetId="13" r:id="rId5"/>
    <sheet name="Classement (2)" sheetId="18" state="hidden" r:id="rId6"/>
    <sheet name="Points Catégorie" sheetId="14" r:id="rId7"/>
    <sheet name="Epreuve  d'appui" sheetId="17" r:id="rId8"/>
  </sheets>
  <externalReferences>
    <externalReference r:id="rId9"/>
    <externalReference r:id="rId10"/>
    <externalReference r:id="rId11"/>
  </externalReferences>
  <definedNames>
    <definedName name="_GoBack" localSheetId="7">'Epreuve  d''appui'!$A$2</definedName>
    <definedName name="GUICHON_André" localSheetId="5">#REF!</definedName>
    <definedName name="GUICHON_André">#REF!</definedName>
    <definedName name="v2T2RANS">'Parties groupes_V'!$I$7</definedName>
    <definedName name="_xlnm.Print_Area" localSheetId="2">'Parties groupes_V'!$A$1:$BG$32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3" l="1"/>
  <c r="A1" i="13"/>
  <c r="AG37" i="11"/>
  <c r="AG9" i="11"/>
  <c r="X20" i="11"/>
  <c r="O53" i="11"/>
  <c r="AC57" i="11"/>
  <c r="AC56" i="11"/>
  <c r="AG56" i="11" s="1"/>
  <c r="AC55" i="11"/>
  <c r="AG55" i="11" s="1"/>
  <c r="AC54" i="11"/>
  <c r="AG54" i="11" s="1"/>
  <c r="AC53" i="11"/>
  <c r="AG53" i="11" s="1"/>
  <c r="AC51" i="11"/>
  <c r="AC50" i="11"/>
  <c r="AG50" i="11" s="1"/>
  <c r="AC49" i="11"/>
  <c r="AG49" i="11" s="1"/>
  <c r="AC48" i="11"/>
  <c r="AG48" i="11" s="1"/>
  <c r="AC47" i="11"/>
  <c r="AG47" i="11" s="1"/>
  <c r="AC45" i="11"/>
  <c r="AC44" i="11"/>
  <c r="AG44" i="11" s="1"/>
  <c r="AC43" i="11"/>
  <c r="AG43" i="11" s="1"/>
  <c r="AC42" i="11"/>
  <c r="AG42" i="11" s="1"/>
  <c r="AC41" i="11"/>
  <c r="AG41" i="11" s="1"/>
  <c r="AC39" i="11"/>
  <c r="AC38" i="11"/>
  <c r="AG38" i="11" s="1"/>
  <c r="AC37" i="11"/>
  <c r="AC36" i="11"/>
  <c r="AG36" i="11" s="1"/>
  <c r="AC35" i="11"/>
  <c r="AG35" i="11" s="1"/>
  <c r="T57" i="11"/>
  <c r="T56" i="11"/>
  <c r="X56" i="11" s="1"/>
  <c r="T55" i="11"/>
  <c r="X55" i="11" s="1"/>
  <c r="T54" i="11"/>
  <c r="X54" i="11" s="1"/>
  <c r="T53" i="11"/>
  <c r="X53" i="11" s="1"/>
  <c r="T51" i="11"/>
  <c r="T50" i="11"/>
  <c r="X50" i="11" s="1"/>
  <c r="T49" i="11"/>
  <c r="X49" i="11" s="1"/>
  <c r="T48" i="11"/>
  <c r="X48" i="11" s="1"/>
  <c r="T47" i="11"/>
  <c r="X47" i="11" s="1"/>
  <c r="T45" i="11"/>
  <c r="T44" i="11"/>
  <c r="X44" i="11" s="1"/>
  <c r="T43" i="11"/>
  <c r="X43" i="11" s="1"/>
  <c r="T42" i="11"/>
  <c r="X42" i="11" s="1"/>
  <c r="T41" i="11"/>
  <c r="X41" i="11" s="1"/>
  <c r="T39" i="11"/>
  <c r="T38" i="11"/>
  <c r="X38" i="11" s="1"/>
  <c r="T37" i="11"/>
  <c r="X37" i="11" s="1"/>
  <c r="T36" i="11"/>
  <c r="X36" i="11" s="1"/>
  <c r="T35" i="11"/>
  <c r="X35" i="11" s="1"/>
  <c r="AC29" i="11"/>
  <c r="AC28" i="11"/>
  <c r="AG28" i="11" s="1"/>
  <c r="AC27" i="11"/>
  <c r="AG27" i="11" s="1"/>
  <c r="AC26" i="11"/>
  <c r="AG26" i="11" s="1"/>
  <c r="AC25" i="11"/>
  <c r="AG25" i="11" s="1"/>
  <c r="AC23" i="11"/>
  <c r="AC22" i="11"/>
  <c r="AG22" i="11" s="1"/>
  <c r="AC21" i="11"/>
  <c r="AG21" i="11" s="1"/>
  <c r="AC20" i="11"/>
  <c r="AG20" i="11" s="1"/>
  <c r="AC19" i="11"/>
  <c r="AG19" i="11" s="1"/>
  <c r="AC17" i="11"/>
  <c r="AC16" i="11"/>
  <c r="AG16" i="11" s="1"/>
  <c r="AC15" i="11"/>
  <c r="AG15" i="11" s="1"/>
  <c r="AC14" i="11"/>
  <c r="AG14" i="11" s="1"/>
  <c r="AC13" i="11"/>
  <c r="AG13" i="11" s="1"/>
  <c r="AC11" i="11"/>
  <c r="AC10" i="11"/>
  <c r="AG10" i="11" s="1"/>
  <c r="AC9" i="11"/>
  <c r="AC8" i="11"/>
  <c r="AG8" i="11" s="1"/>
  <c r="AC7" i="11"/>
  <c r="AG7" i="11" s="1"/>
  <c r="T29" i="11"/>
  <c r="T28" i="11"/>
  <c r="X28" i="11" s="1"/>
  <c r="T27" i="11"/>
  <c r="X27" i="11" s="1"/>
  <c r="T26" i="11"/>
  <c r="X26" i="11" s="1"/>
  <c r="T25" i="11"/>
  <c r="X25" i="11" s="1"/>
  <c r="T23" i="11"/>
  <c r="T22" i="11"/>
  <c r="X22" i="11" s="1"/>
  <c r="T21" i="11"/>
  <c r="X21" i="11" s="1"/>
  <c r="T20" i="11"/>
  <c r="T19" i="11"/>
  <c r="X19" i="11" s="1"/>
  <c r="T17" i="11"/>
  <c r="T16" i="11"/>
  <c r="X16" i="11" s="1"/>
  <c r="T15" i="11"/>
  <c r="X15" i="11" s="1"/>
  <c r="T14" i="11"/>
  <c r="X14" i="11" s="1"/>
  <c r="T13" i="11"/>
  <c r="X13" i="11" s="1"/>
  <c r="T11" i="11"/>
  <c r="T10" i="11"/>
  <c r="X10" i="11" s="1"/>
  <c r="T9" i="11"/>
  <c r="X9" i="11" s="1"/>
  <c r="T8" i="11"/>
  <c r="X8" i="11" s="1"/>
  <c r="T7" i="11"/>
  <c r="X7" i="11" s="1"/>
  <c r="K30" i="11"/>
  <c r="K29" i="11"/>
  <c r="K28" i="11"/>
  <c r="O28" i="11" s="1"/>
  <c r="K27" i="11"/>
  <c r="O27" i="11" s="1"/>
  <c r="K26" i="11"/>
  <c r="O26" i="11" s="1"/>
  <c r="K25" i="11"/>
  <c r="O25" i="11" s="1"/>
  <c r="K24" i="11"/>
  <c r="K23" i="11"/>
  <c r="K22" i="11"/>
  <c r="O22" i="11" s="1"/>
  <c r="K21" i="11"/>
  <c r="O21" i="11" s="1"/>
  <c r="K20" i="11"/>
  <c r="O20" i="11" s="1"/>
  <c r="K19" i="11"/>
  <c r="O19" i="11" s="1"/>
  <c r="K18" i="11"/>
  <c r="K17" i="11"/>
  <c r="K16" i="11"/>
  <c r="O16" i="11" s="1"/>
  <c r="K15" i="11"/>
  <c r="O15" i="11" s="1"/>
  <c r="K14" i="11"/>
  <c r="O14" i="11" s="1"/>
  <c r="K13" i="11"/>
  <c r="O13" i="11" s="1"/>
  <c r="K12" i="11"/>
  <c r="K11" i="11"/>
  <c r="K10" i="11"/>
  <c r="O10" i="11" s="1"/>
  <c r="K9" i="11"/>
  <c r="O9" i="11" s="1"/>
  <c r="K8" i="11"/>
  <c r="O8" i="11" s="1"/>
  <c r="K7" i="11"/>
  <c r="O7" i="11" s="1"/>
  <c r="K58" i="11"/>
  <c r="K57" i="11"/>
  <c r="K56" i="11"/>
  <c r="O56" i="11" s="1"/>
  <c r="K55" i="11"/>
  <c r="O55" i="11" s="1"/>
  <c r="K54" i="11"/>
  <c r="O54" i="11" s="1"/>
  <c r="K53" i="11"/>
  <c r="K52" i="11"/>
  <c r="K51" i="11"/>
  <c r="K50" i="11"/>
  <c r="O50" i="11" s="1"/>
  <c r="K49" i="11"/>
  <c r="O49" i="11" s="1"/>
  <c r="K48" i="11"/>
  <c r="O48" i="11" s="1"/>
  <c r="K47" i="11"/>
  <c r="O47" i="11" s="1"/>
  <c r="K46" i="11"/>
  <c r="K45" i="11"/>
  <c r="K44" i="11"/>
  <c r="O44" i="11" s="1"/>
  <c r="K43" i="11"/>
  <c r="O43" i="11" s="1"/>
  <c r="K42" i="11"/>
  <c r="O42" i="11" s="1"/>
  <c r="K41" i="11"/>
  <c r="O41" i="11" s="1"/>
  <c r="K40" i="11"/>
  <c r="K39" i="11"/>
  <c r="K38" i="11"/>
  <c r="O38" i="11" s="1"/>
  <c r="K37" i="11"/>
  <c r="O37" i="11" s="1"/>
  <c r="K36" i="11"/>
  <c r="O36" i="11" s="1"/>
  <c r="K35" i="11"/>
  <c r="O35" i="11" s="1"/>
  <c r="I56" i="11"/>
  <c r="B58" i="13" s="1"/>
  <c r="I55" i="11"/>
  <c r="B57" i="13" s="1"/>
  <c r="I54" i="11"/>
  <c r="B56" i="13" s="1"/>
  <c r="I53" i="11"/>
  <c r="AI53" i="11" s="1"/>
  <c r="I51" i="11"/>
  <c r="BD51" i="11" s="1" a="1"/>
  <c r="BD51" i="11" s="1"/>
  <c r="I50" i="11"/>
  <c r="B52" i="13" s="1"/>
  <c r="I49" i="11"/>
  <c r="R51" i="11" s="1"/>
  <c r="I48" i="11"/>
  <c r="B50" i="13" s="1"/>
  <c r="I47" i="11"/>
  <c r="B49" i="13" s="1"/>
  <c r="I45" i="11"/>
  <c r="B47" i="13" s="1"/>
  <c r="I43" i="11"/>
  <c r="B45" i="13" s="1"/>
  <c r="I42" i="11"/>
  <c r="B44" i="13" s="1"/>
  <c r="I41" i="11"/>
  <c r="B43" i="13" s="1"/>
  <c r="I39" i="11"/>
  <c r="BD39" i="11" s="1" a="1"/>
  <c r="BD39" i="11" s="1"/>
  <c r="I38" i="11"/>
  <c r="BB38" i="11" s="1"/>
  <c r="I37" i="11"/>
  <c r="I44" i="11"/>
  <c r="BB44" i="11" s="1"/>
  <c r="I57" i="11"/>
  <c r="B59" i="13" s="1"/>
  <c r="I36" i="11"/>
  <c r="BB36" i="11" s="1"/>
  <c r="I35" i="11"/>
  <c r="R37" i="11" s="1"/>
  <c r="I29" i="11"/>
  <c r="I28" i="11"/>
  <c r="I27" i="11"/>
  <c r="I26" i="11"/>
  <c r="I25" i="11"/>
  <c r="I23" i="11"/>
  <c r="I22" i="11"/>
  <c r="I21" i="11"/>
  <c r="I20" i="11"/>
  <c r="I19" i="11"/>
  <c r="I17" i="11"/>
  <c r="I16" i="11"/>
  <c r="I15" i="11"/>
  <c r="I14" i="11"/>
  <c r="I13" i="11"/>
  <c r="I11" i="11"/>
  <c r="I10" i="11"/>
  <c r="I9" i="11"/>
  <c r="I8" i="11"/>
  <c r="I7" i="11"/>
  <c r="A2" i="12"/>
  <c r="A1" i="12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3" i="14"/>
  <c r="C2" i="14"/>
  <c r="B41" i="14"/>
  <c r="B30" i="14"/>
  <c r="B31" i="14"/>
  <c r="B32" i="14"/>
  <c r="B33" i="14"/>
  <c r="B34" i="14"/>
  <c r="B35" i="14"/>
  <c r="B36" i="14"/>
  <c r="B37" i="14"/>
  <c r="B38" i="14"/>
  <c r="B39" i="14"/>
  <c r="B40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" i="14"/>
  <c r="B2" i="14"/>
  <c r="AF58" i="11"/>
  <c r="AE58" i="11"/>
  <c r="AD58" i="11"/>
  <c r="W58" i="11"/>
  <c r="V58" i="11"/>
  <c r="U58" i="11"/>
  <c r="N58" i="11"/>
  <c r="M58" i="11"/>
  <c r="L58" i="11"/>
  <c r="AF57" i="11"/>
  <c r="AE57" i="11"/>
  <c r="AD57" i="11"/>
  <c r="W57" i="11"/>
  <c r="V57" i="11"/>
  <c r="U57" i="11"/>
  <c r="N57" i="11"/>
  <c r="M57" i="11"/>
  <c r="L57" i="11"/>
  <c r="AF56" i="11"/>
  <c r="AE56" i="11"/>
  <c r="AD56" i="11"/>
  <c r="W56" i="11"/>
  <c r="V56" i="11"/>
  <c r="U56" i="11"/>
  <c r="N56" i="11"/>
  <c r="M56" i="11"/>
  <c r="L56" i="11"/>
  <c r="AF55" i="11"/>
  <c r="AE55" i="11"/>
  <c r="AD55" i="11"/>
  <c r="W55" i="11"/>
  <c r="V55" i="11"/>
  <c r="U55" i="11"/>
  <c r="N55" i="11"/>
  <c r="M55" i="11"/>
  <c r="L55" i="11"/>
  <c r="AF54" i="11"/>
  <c r="AE54" i="11"/>
  <c r="AD54" i="11"/>
  <c r="W54" i="11"/>
  <c r="V54" i="11"/>
  <c r="U54" i="11"/>
  <c r="N54" i="11"/>
  <c r="M54" i="11"/>
  <c r="L54" i="11"/>
  <c r="AF53" i="11"/>
  <c r="AE53" i="11"/>
  <c r="AD53" i="11"/>
  <c r="W53" i="11"/>
  <c r="V53" i="11"/>
  <c r="U53" i="11"/>
  <c r="N53" i="11"/>
  <c r="M53" i="11"/>
  <c r="L53" i="11"/>
  <c r="AF52" i="11"/>
  <c r="AE52" i="11"/>
  <c r="AD52" i="11"/>
  <c r="W52" i="11"/>
  <c r="V52" i="11"/>
  <c r="U52" i="11"/>
  <c r="N52" i="11"/>
  <c r="M52" i="11"/>
  <c r="L52" i="11"/>
  <c r="AF51" i="11"/>
  <c r="AE51" i="11"/>
  <c r="AD51" i="11"/>
  <c r="W51" i="11"/>
  <c r="V51" i="11"/>
  <c r="U51" i="11"/>
  <c r="N51" i="11"/>
  <c r="M51" i="11"/>
  <c r="L51" i="11"/>
  <c r="AF50" i="11"/>
  <c r="AE50" i="11"/>
  <c r="AD50" i="11"/>
  <c r="W50" i="11"/>
  <c r="V50" i="11"/>
  <c r="U50" i="11"/>
  <c r="N50" i="11"/>
  <c r="M50" i="11"/>
  <c r="L50" i="11"/>
  <c r="AF49" i="11"/>
  <c r="AE49" i="11"/>
  <c r="AD49" i="11"/>
  <c r="W49" i="11"/>
  <c r="V49" i="11"/>
  <c r="U49" i="11"/>
  <c r="N49" i="11"/>
  <c r="M49" i="11"/>
  <c r="L49" i="11"/>
  <c r="AF48" i="11"/>
  <c r="AE48" i="11"/>
  <c r="AD48" i="11"/>
  <c r="W48" i="11"/>
  <c r="V48" i="11"/>
  <c r="U48" i="11"/>
  <c r="N48" i="11"/>
  <c r="M48" i="11"/>
  <c r="L48" i="11"/>
  <c r="BB48" i="11"/>
  <c r="AF47" i="11"/>
  <c r="AE47" i="11"/>
  <c r="AD47" i="11"/>
  <c r="W47" i="11"/>
  <c r="V47" i="11"/>
  <c r="U47" i="11"/>
  <c r="N47" i="11"/>
  <c r="M47" i="11"/>
  <c r="L47" i="11"/>
  <c r="AF46" i="11"/>
  <c r="AE46" i="11"/>
  <c r="AD46" i="11"/>
  <c r="W46" i="11"/>
  <c r="V46" i="11"/>
  <c r="U46" i="11"/>
  <c r="N46" i="11"/>
  <c r="M46" i="11"/>
  <c r="L46" i="11"/>
  <c r="AF45" i="11"/>
  <c r="AE45" i="11"/>
  <c r="AD45" i="11"/>
  <c r="W45" i="11"/>
  <c r="V45" i="11"/>
  <c r="U45" i="11"/>
  <c r="N45" i="11"/>
  <c r="M45" i="11"/>
  <c r="L45" i="11"/>
  <c r="AF44" i="11"/>
  <c r="AE44" i="11"/>
  <c r="AD44" i="11"/>
  <c r="W44" i="11"/>
  <c r="V44" i="11"/>
  <c r="U44" i="11"/>
  <c r="N44" i="11"/>
  <c r="M44" i="11"/>
  <c r="L44" i="11"/>
  <c r="AF43" i="11"/>
  <c r="AE43" i="11"/>
  <c r="AD43" i="11"/>
  <c r="W43" i="11"/>
  <c r="V43" i="11"/>
  <c r="U43" i="11"/>
  <c r="N43" i="11"/>
  <c r="M43" i="11"/>
  <c r="L43" i="11"/>
  <c r="AF42" i="11"/>
  <c r="AE42" i="11"/>
  <c r="AD42" i="11"/>
  <c r="W42" i="11"/>
  <c r="V42" i="11"/>
  <c r="U42" i="11"/>
  <c r="N42" i="11"/>
  <c r="M42" i="11"/>
  <c r="L42" i="11"/>
  <c r="AF41" i="11"/>
  <c r="AE41" i="11"/>
  <c r="AD41" i="11"/>
  <c r="W41" i="11"/>
  <c r="V41" i="11"/>
  <c r="U41" i="11"/>
  <c r="N41" i="11"/>
  <c r="M41" i="11"/>
  <c r="L41" i="11"/>
  <c r="AF40" i="11"/>
  <c r="AE40" i="11"/>
  <c r="AD40" i="11"/>
  <c r="W40" i="11"/>
  <c r="V40" i="11"/>
  <c r="U40" i="11"/>
  <c r="N40" i="11"/>
  <c r="M40" i="11"/>
  <c r="L40" i="11"/>
  <c r="AF39" i="11"/>
  <c r="AE39" i="11"/>
  <c r="AD39" i="11"/>
  <c r="W39" i="11"/>
  <c r="V39" i="11"/>
  <c r="U39" i="11"/>
  <c r="N39" i="11"/>
  <c r="M39" i="11"/>
  <c r="L39" i="11"/>
  <c r="AF38" i="11"/>
  <c r="AE38" i="11"/>
  <c r="AD38" i="11"/>
  <c r="W38" i="11"/>
  <c r="V38" i="11"/>
  <c r="U38" i="11"/>
  <c r="N38" i="11"/>
  <c r="M38" i="11"/>
  <c r="L38" i="11"/>
  <c r="AF37" i="11"/>
  <c r="AE37" i="11"/>
  <c r="AD37" i="11"/>
  <c r="W37" i="11"/>
  <c r="V37" i="11"/>
  <c r="U37" i="11"/>
  <c r="N37" i="11"/>
  <c r="M37" i="11"/>
  <c r="L37" i="11"/>
  <c r="AF36" i="11"/>
  <c r="AE36" i="11"/>
  <c r="AD36" i="11"/>
  <c r="W36" i="11"/>
  <c r="V36" i="11"/>
  <c r="U36" i="11"/>
  <c r="N36" i="11"/>
  <c r="M36" i="11"/>
  <c r="L36" i="11"/>
  <c r="AF35" i="11"/>
  <c r="AE35" i="11"/>
  <c r="AD35" i="11"/>
  <c r="W35" i="11"/>
  <c r="V35" i="11"/>
  <c r="U35" i="11"/>
  <c r="N35" i="11"/>
  <c r="M35" i="11"/>
  <c r="L35" i="11"/>
  <c r="C59" i="13" l="1"/>
  <c r="AI42" i="11"/>
  <c r="C56" i="13"/>
  <c r="BB54" i="11"/>
  <c r="C57" i="13"/>
  <c r="R41" i="11"/>
  <c r="AA41" i="11" s="1"/>
  <c r="R35" i="11"/>
  <c r="AA35" i="11" s="1"/>
  <c r="R53" i="11"/>
  <c r="D59" i="13" s="1"/>
  <c r="BD57" i="11" a="1"/>
  <c r="BD57" i="11" s="1"/>
  <c r="C58" i="13"/>
  <c r="AI50" i="11"/>
  <c r="R57" i="11"/>
  <c r="BE55" i="11" s="1" a="1"/>
  <c r="BE55" i="11" s="1"/>
  <c r="BD45" i="11" a="1"/>
  <c r="BD45" i="11" s="1"/>
  <c r="BB56" i="11"/>
  <c r="R49" i="11"/>
  <c r="AA51" i="11" s="1"/>
  <c r="BF47" i="11" s="1" a="1"/>
  <c r="BF47" i="11" s="1"/>
  <c r="C44" i="13"/>
  <c r="C45" i="13"/>
  <c r="C47" i="13"/>
  <c r="C49" i="13"/>
  <c r="C50" i="13"/>
  <c r="B51" i="13"/>
  <c r="B46" i="13"/>
  <c r="C52" i="13"/>
  <c r="B53" i="13"/>
  <c r="B55" i="13"/>
  <c r="E47" i="13"/>
  <c r="C43" i="13"/>
  <c r="R47" i="11"/>
  <c r="AA47" i="11" s="1"/>
  <c r="BD41" i="11" a="1"/>
  <c r="BD41" i="11" s="1"/>
  <c r="BD44" i="11" a="1"/>
  <c r="BD44" i="11" s="1"/>
  <c r="AA39" i="11"/>
  <c r="BF35" i="11" s="1" a="1"/>
  <c r="BF35" i="11" s="1"/>
  <c r="BD36" i="11" a="1"/>
  <c r="BD36" i="11" s="1"/>
  <c r="R39" i="11"/>
  <c r="BD38" i="11" a="1"/>
  <c r="BD38" i="11" s="1"/>
  <c r="BD37" i="11" a="1"/>
  <c r="BD37" i="11" s="1"/>
  <c r="BB37" i="11"/>
  <c r="AI37" i="11"/>
  <c r="BE49" i="11" a="1"/>
  <c r="BE49" i="11" s="1"/>
  <c r="AA48" i="11"/>
  <c r="AI35" i="11"/>
  <c r="BB35" i="11"/>
  <c r="BD35" i="11" a="1"/>
  <c r="BD35" i="11" s="1"/>
  <c r="R36" i="11"/>
  <c r="AA37" i="11" s="1"/>
  <c r="AI36" i="11"/>
  <c r="R38" i="11"/>
  <c r="AA38" i="11" s="1"/>
  <c r="AI38" i="11"/>
  <c r="BB42" i="11"/>
  <c r="BD42" i="11" a="1"/>
  <c r="BD42" i="11" s="1"/>
  <c r="R43" i="11"/>
  <c r="AI43" i="11"/>
  <c r="BB43" i="11"/>
  <c r="BD43" i="11" a="1"/>
  <c r="BD43" i="11" s="1"/>
  <c r="R44" i="11"/>
  <c r="AA44" i="11" s="1"/>
  <c r="AI44" i="11"/>
  <c r="R45" i="11"/>
  <c r="AI45" i="11"/>
  <c r="BB45" i="11"/>
  <c r="AI47" i="11"/>
  <c r="BB47" i="11"/>
  <c r="BD47" i="11" a="1"/>
  <c r="BD47" i="11" s="1"/>
  <c r="R48" i="11"/>
  <c r="AA49" i="11" s="1"/>
  <c r="AI48" i="11"/>
  <c r="BB50" i="11"/>
  <c r="BD50" i="11" a="1"/>
  <c r="BD50" i="11" s="1"/>
  <c r="BB53" i="11"/>
  <c r="BD53" i="11" a="1"/>
  <c r="BD53" i="11" s="1"/>
  <c r="R54" i="11"/>
  <c r="AA55" i="11" s="1"/>
  <c r="AI54" i="11"/>
  <c r="BD54" i="11" a="1"/>
  <c r="BD54" i="11" s="1"/>
  <c r="R55" i="11"/>
  <c r="AI55" i="11"/>
  <c r="BB55" i="11"/>
  <c r="BD55" i="11" a="1"/>
  <c r="BD55" i="11" s="1"/>
  <c r="R56" i="11"/>
  <c r="AA56" i="11" s="1"/>
  <c r="AI56" i="11"/>
  <c r="BD56" i="11" a="1"/>
  <c r="BD56" i="11" s="1"/>
  <c r="AI39" i="11"/>
  <c r="BB39" i="11"/>
  <c r="AI41" i="11"/>
  <c r="BB41" i="11"/>
  <c r="R42" i="11"/>
  <c r="AA43" i="11" s="1"/>
  <c r="BD48" i="11" a="1"/>
  <c r="BD48" i="11" s="1"/>
  <c r="AI49" i="11"/>
  <c r="BB49" i="11"/>
  <c r="BD49" i="11" a="1"/>
  <c r="BD49" i="11" s="1"/>
  <c r="R50" i="11"/>
  <c r="AA50" i="11" s="1"/>
  <c r="AI51" i="11"/>
  <c r="BB51" i="11"/>
  <c r="AI57" i="11"/>
  <c r="BB57" i="11"/>
  <c r="K2" i="18"/>
  <c r="A2" i="18"/>
  <c r="K1" i="18"/>
  <c r="A1" i="18"/>
  <c r="J49" i="13" l="1"/>
  <c r="E49" i="13"/>
  <c r="AA53" i="11"/>
  <c r="E59" i="13" s="1"/>
  <c r="AA54" i="11"/>
  <c r="D47" i="13"/>
  <c r="F47" i="13" s="1"/>
  <c r="BE50" i="11" a="1"/>
  <c r="BE50" i="11" s="1"/>
  <c r="D53" i="13"/>
  <c r="AJ51" i="11"/>
  <c r="AJ49" i="11"/>
  <c r="AK50" i="11"/>
  <c r="AM48" i="11"/>
  <c r="B40" i="13"/>
  <c r="D52" i="13"/>
  <c r="D58" i="13"/>
  <c r="D57" i="13"/>
  <c r="AM49" i="11"/>
  <c r="E50" i="13"/>
  <c r="AK47" i="11"/>
  <c r="AK51" i="11"/>
  <c r="AL51" i="11"/>
  <c r="J52" i="13"/>
  <c r="J43" i="13"/>
  <c r="D45" i="13"/>
  <c r="AL47" i="11"/>
  <c r="G49" i="13" s="1"/>
  <c r="D44" i="13"/>
  <c r="D43" i="13"/>
  <c r="AJ48" i="11"/>
  <c r="AJ50" i="11"/>
  <c r="D56" i="13"/>
  <c r="E52" i="13"/>
  <c r="AM51" i="11"/>
  <c r="C55" i="13"/>
  <c r="C46" i="13"/>
  <c r="J46" i="13"/>
  <c r="J50" i="13"/>
  <c r="J47" i="13"/>
  <c r="J44" i="13"/>
  <c r="B38" i="13"/>
  <c r="B37" i="13"/>
  <c r="B39" i="13"/>
  <c r="D49" i="13"/>
  <c r="D55" i="13"/>
  <c r="E51" i="13"/>
  <c r="AK49" i="11"/>
  <c r="J53" i="13"/>
  <c r="C53" i="13"/>
  <c r="AM50" i="11"/>
  <c r="AL50" i="11"/>
  <c r="J45" i="13"/>
  <c r="B41" i="13"/>
  <c r="AJ47" i="11"/>
  <c r="D46" i="13"/>
  <c r="D50" i="13"/>
  <c r="D51" i="13"/>
  <c r="E53" i="13"/>
  <c r="AL49" i="11"/>
  <c r="AM47" i="11"/>
  <c r="H49" i="13" s="1"/>
  <c r="J51" i="13"/>
  <c r="C51" i="13"/>
  <c r="AL48" i="11"/>
  <c r="AK48" i="11"/>
  <c r="BD46" i="11"/>
  <c r="AA57" i="11"/>
  <c r="BF53" i="11" s="1" a="1"/>
  <c r="BF53" i="11" s="1"/>
  <c r="BE56" i="11" a="1"/>
  <c r="BE56" i="11" s="1"/>
  <c r="BE53" i="11" a="1"/>
  <c r="BE53" i="11" s="1"/>
  <c r="BF56" i="11" a="1"/>
  <c r="BF56" i="11" s="1"/>
  <c r="BF54" i="11" a="1"/>
  <c r="BF54" i="11" s="1"/>
  <c r="BD52" i="11"/>
  <c r="BF38" i="11" a="1"/>
  <c r="BF38" i="11" s="1"/>
  <c r="BF36" i="11" a="1"/>
  <c r="BF36" i="11" s="1"/>
  <c r="BD40" i="11"/>
  <c r="BE45" i="11" a="1"/>
  <c r="BE45" i="11" s="1"/>
  <c r="BE42" i="11" a="1"/>
  <c r="BE42" i="11" s="1"/>
  <c r="BE51" i="11" a="1"/>
  <c r="BE51" i="11" s="1"/>
  <c r="BE36" i="11" a="1"/>
  <c r="BE36" i="11" s="1"/>
  <c r="BE39" i="11" a="1"/>
  <c r="BE39" i="11" s="1"/>
  <c r="BE47" i="11" a="1"/>
  <c r="BE47" i="11" s="1"/>
  <c r="BE48" i="11" a="1"/>
  <c r="BE48" i="11" s="1"/>
  <c r="BF44" i="11" a="1"/>
  <c r="BF44" i="11" s="1"/>
  <c r="BF42" i="11" a="1"/>
  <c r="BF42" i="11" s="1"/>
  <c r="BD58" i="11"/>
  <c r="BF48" i="11" a="1"/>
  <c r="BF48" i="11" s="1"/>
  <c r="BF50" i="11" a="1"/>
  <c r="BF50" i="11" s="1"/>
  <c r="BF51" i="11" a="1"/>
  <c r="BF51" i="11" s="1"/>
  <c r="BF49" i="11" a="1"/>
  <c r="BF49" i="11" s="1"/>
  <c r="BC49" i="11" s="1"/>
  <c r="AA42" i="11"/>
  <c r="BE43" i="11" a="1"/>
  <c r="BE43" i="11" s="1"/>
  <c r="AA45" i="11"/>
  <c r="BF41" i="11" s="1" a="1"/>
  <c r="BF41" i="11" s="1"/>
  <c r="BE44" i="11" a="1"/>
  <c r="BE44" i="11" s="1"/>
  <c r="BE41" i="11" a="1"/>
  <c r="BE41" i="11" s="1"/>
  <c r="BE37" i="11" a="1"/>
  <c r="BE37" i="11" s="1"/>
  <c r="AA36" i="11"/>
  <c r="BF37" i="11" s="1" a="1"/>
  <c r="BF37" i="11" s="1"/>
  <c r="BE54" i="11" a="1"/>
  <c r="BE54" i="11" s="1"/>
  <c r="BE35" i="11" a="1"/>
  <c r="BE35" i="11" s="1"/>
  <c r="BC35" i="11" s="1"/>
  <c r="BE57" i="11" a="1"/>
  <c r="BE57" i="11" s="1"/>
  <c r="BE38" i="11" a="1"/>
  <c r="BE38" i="11" s="1"/>
  <c r="AQ12" i="11"/>
  <c r="AQ18" i="11"/>
  <c r="AQ24" i="11"/>
  <c r="AF25" i="11"/>
  <c r="AF26" i="11"/>
  <c r="AF27" i="11"/>
  <c r="AF28" i="11"/>
  <c r="AE28" i="11"/>
  <c r="AE25" i="11"/>
  <c r="AD26" i="11"/>
  <c r="AD27" i="11"/>
  <c r="AK45" i="11" l="1"/>
  <c r="AJ44" i="11"/>
  <c r="AJ45" i="11"/>
  <c r="AM45" i="11"/>
  <c r="AK39" i="11"/>
  <c r="AM39" i="11"/>
  <c r="AJ39" i="11"/>
  <c r="AL45" i="11"/>
  <c r="AL39" i="11"/>
  <c r="AM57" i="11"/>
  <c r="AL56" i="11"/>
  <c r="AK57" i="11"/>
  <c r="AJ56" i="11"/>
  <c r="BF55" i="11" a="1"/>
  <c r="BF55" i="11" s="1"/>
  <c r="BC55" i="11" s="1"/>
  <c r="AM55" i="11"/>
  <c r="AJ55" i="11"/>
  <c r="AM54" i="11"/>
  <c r="E57" i="13"/>
  <c r="AJ53" i="11"/>
  <c r="AJ43" i="11"/>
  <c r="BF57" i="11" a="1"/>
  <c r="BF57" i="11" s="1"/>
  <c r="BC57" i="11" s="1"/>
  <c r="AL53" i="11"/>
  <c r="G55" i="13" s="1"/>
  <c r="AL54" i="11"/>
  <c r="AL55" i="11"/>
  <c r="AJ57" i="11"/>
  <c r="AK56" i="11"/>
  <c r="AM56" i="11"/>
  <c r="AK55" i="11"/>
  <c r="AJ54" i="11"/>
  <c r="E56" i="13"/>
  <c r="AK54" i="11"/>
  <c r="E58" i="13"/>
  <c r="AL57" i="11"/>
  <c r="BC50" i="11"/>
  <c r="G52" i="13"/>
  <c r="G50" i="13"/>
  <c r="G51" i="13"/>
  <c r="H52" i="13"/>
  <c r="H50" i="13"/>
  <c r="H53" i="13"/>
  <c r="H51" i="13"/>
  <c r="G53" i="13"/>
  <c r="AL37" i="11"/>
  <c r="AJ38" i="11"/>
  <c r="C41" i="13"/>
  <c r="J41" i="13"/>
  <c r="E41" i="13"/>
  <c r="D41" i="13"/>
  <c r="AK35" i="11"/>
  <c r="AK53" i="11"/>
  <c r="AJ37" i="11"/>
  <c r="C37" i="13"/>
  <c r="J37" i="13"/>
  <c r="E37" i="13"/>
  <c r="D37" i="13"/>
  <c r="AJ36" i="11"/>
  <c r="AK41" i="11"/>
  <c r="AL41" i="11"/>
  <c r="AK38" i="11"/>
  <c r="J39" i="13"/>
  <c r="D39" i="13"/>
  <c r="C39" i="13"/>
  <c r="E39" i="13"/>
  <c r="AK43" i="11"/>
  <c r="J40" i="13"/>
  <c r="C40" i="13"/>
  <c r="E40" i="13"/>
  <c r="D40" i="13"/>
  <c r="AM37" i="11"/>
  <c r="AM38" i="11"/>
  <c r="AL36" i="11"/>
  <c r="AM44" i="11"/>
  <c r="AM36" i="11"/>
  <c r="C38" i="13"/>
  <c r="J38" i="13"/>
  <c r="D38" i="13"/>
  <c r="E38" i="13"/>
  <c r="AL38" i="11"/>
  <c r="AK44" i="11"/>
  <c r="AJ35" i="11"/>
  <c r="AK37" i="11"/>
  <c r="AL35" i="11"/>
  <c r="G37" i="13" s="1"/>
  <c r="E46" i="13"/>
  <c r="F46" i="13" s="1"/>
  <c r="E44" i="13"/>
  <c r="F44" i="13" s="1"/>
  <c r="E43" i="13"/>
  <c r="F43" i="13" s="1"/>
  <c r="E45" i="13"/>
  <c r="AM53" i="11"/>
  <c r="H55" i="13" s="1"/>
  <c r="AK42" i="11"/>
  <c r="AL43" i="11"/>
  <c r="AJ42" i="11"/>
  <c r="AM35" i="11"/>
  <c r="H37" i="13" s="1"/>
  <c r="AL42" i="11"/>
  <c r="AM41" i="11"/>
  <c r="H43" i="13" s="1"/>
  <c r="AM43" i="11"/>
  <c r="AJ41" i="11"/>
  <c r="AL44" i="11"/>
  <c r="E55" i="13"/>
  <c r="F45" i="13"/>
  <c r="AM42" i="11"/>
  <c r="AK36" i="11"/>
  <c r="BC53" i="11"/>
  <c r="BC56" i="11"/>
  <c r="BC54" i="11"/>
  <c r="BC38" i="11"/>
  <c r="BC44" i="11"/>
  <c r="BC42" i="11"/>
  <c r="BC36" i="11"/>
  <c r="B9" i="18"/>
  <c r="BC48" i="11"/>
  <c r="B32" i="18"/>
  <c r="BF52" i="11"/>
  <c r="BE52" i="11"/>
  <c r="BC37" i="11"/>
  <c r="BF39" i="11" a="1"/>
  <c r="BF39" i="11" s="1"/>
  <c r="BF40" i="11" s="1"/>
  <c r="BC47" i="11"/>
  <c r="BE58" i="11"/>
  <c r="BE46" i="11"/>
  <c r="BC41" i="11"/>
  <c r="BF43" i="11" a="1"/>
  <c r="BF43" i="11" s="1"/>
  <c r="BC43" i="11" s="1"/>
  <c r="BF45" i="11" a="1"/>
  <c r="BF45" i="11" s="1"/>
  <c r="BC45" i="11" s="1"/>
  <c r="BE40" i="11"/>
  <c r="BC51" i="11"/>
  <c r="AI19" i="11"/>
  <c r="AI7" i="11"/>
  <c r="H38" i="13" l="1"/>
  <c r="BF58" i="11"/>
  <c r="G59" i="13"/>
  <c r="G58" i="13"/>
  <c r="G56" i="13"/>
  <c r="G57" i="13"/>
  <c r="G46" i="13"/>
  <c r="G44" i="13"/>
  <c r="H46" i="13"/>
  <c r="H44" i="13"/>
  <c r="G38" i="13"/>
  <c r="G39" i="13"/>
  <c r="H45" i="13"/>
  <c r="G40" i="13"/>
  <c r="H40" i="13"/>
  <c r="H56" i="13"/>
  <c r="G43" i="13"/>
  <c r="I43" i="13" s="1"/>
  <c r="G47" i="13"/>
  <c r="G45" i="13"/>
  <c r="H39" i="13"/>
  <c r="H58" i="13"/>
  <c r="G41" i="13"/>
  <c r="H57" i="13"/>
  <c r="H41" i="13"/>
  <c r="H59" i="13"/>
  <c r="H47" i="13"/>
  <c r="BC58" i="11"/>
  <c r="BC39" i="11"/>
  <c r="BC40" i="11" s="1"/>
  <c r="BF46" i="11"/>
  <c r="BC46" i="11"/>
  <c r="BC52" i="11"/>
  <c r="B23" i="13"/>
  <c r="K1" i="13"/>
  <c r="K1" i="12"/>
  <c r="K2" i="13"/>
  <c r="K2" i="12"/>
  <c r="I45" i="13" l="1"/>
  <c r="I44" i="13"/>
  <c r="I47" i="13"/>
  <c r="I46" i="13"/>
  <c r="F52" i="13"/>
  <c r="I52" i="13" s="1"/>
  <c r="F59" i="13"/>
  <c r="I59" i="13" s="1"/>
  <c r="B7" i="18"/>
  <c r="AI11" i="11"/>
  <c r="B12" i="18"/>
  <c r="AI27" i="11"/>
  <c r="B29" i="18"/>
  <c r="AI8" i="11"/>
  <c r="B26" i="18"/>
  <c r="AI13" i="11"/>
  <c r="B31" i="18"/>
  <c r="AI17" i="11"/>
  <c r="B5" i="18"/>
  <c r="AI23" i="11"/>
  <c r="B42" i="18"/>
  <c r="AI28" i="11"/>
  <c r="B25" i="18"/>
  <c r="AI9" i="11"/>
  <c r="B15" i="18"/>
  <c r="AI16" i="11"/>
  <c r="B30" i="18"/>
  <c r="AI14" i="11"/>
  <c r="B16" i="18"/>
  <c r="AI20" i="11"/>
  <c r="B11" i="18"/>
  <c r="AI25" i="11"/>
  <c r="B28" i="18"/>
  <c r="AI29" i="11"/>
  <c r="B41" i="18"/>
  <c r="AI10" i="11"/>
  <c r="B10" i="18"/>
  <c r="AI15" i="11"/>
  <c r="B27" i="18"/>
  <c r="AI21" i="11"/>
  <c r="B34" i="18"/>
  <c r="AI26" i="11"/>
  <c r="B33" i="18"/>
  <c r="AI22" i="11"/>
  <c r="M12" i="11"/>
  <c r="M11" i="11"/>
  <c r="J55" i="13" l="1"/>
  <c r="J59" i="13"/>
  <c r="J57" i="13"/>
  <c r="J56" i="13"/>
  <c r="J58" i="13"/>
  <c r="J32" i="18"/>
  <c r="I32" i="18"/>
  <c r="I9" i="18"/>
  <c r="J9" i="18"/>
  <c r="J34" i="18"/>
  <c r="I34" i="18"/>
  <c r="J16" i="18"/>
  <c r="I16" i="18"/>
  <c r="J42" i="18"/>
  <c r="I42" i="18"/>
  <c r="J29" i="18"/>
  <c r="I29" i="18"/>
  <c r="J7" i="18"/>
  <c r="I7" i="18"/>
  <c r="J10" i="18"/>
  <c r="I10" i="18"/>
  <c r="J28" i="18"/>
  <c r="I28" i="18"/>
  <c r="J15" i="18"/>
  <c r="I15" i="18"/>
  <c r="J31" i="18"/>
  <c r="I31" i="18"/>
  <c r="J33" i="18"/>
  <c r="I33" i="18"/>
  <c r="J27" i="18"/>
  <c r="I27" i="18"/>
  <c r="J41" i="18"/>
  <c r="I41" i="18"/>
  <c r="J11" i="18"/>
  <c r="I11" i="18"/>
  <c r="J30" i="18"/>
  <c r="I30" i="18"/>
  <c r="J25" i="18"/>
  <c r="I25" i="18"/>
  <c r="I5" i="18"/>
  <c r="J5" i="18"/>
  <c r="J26" i="18"/>
  <c r="I26" i="18"/>
  <c r="J12" i="18"/>
  <c r="I12" i="18"/>
  <c r="M7" i="11"/>
  <c r="R25" i="11" l="1"/>
  <c r="R28" i="11"/>
  <c r="AA28" i="11" s="1"/>
  <c r="R29" i="11"/>
  <c r="R26" i="11"/>
  <c r="AA27" i="11" s="1"/>
  <c r="R22" i="11"/>
  <c r="R20" i="11"/>
  <c r="AA21" i="11" s="1"/>
  <c r="B11" i="13"/>
  <c r="B9" i="13"/>
  <c r="R8" i="11"/>
  <c r="AF30" i="11"/>
  <c r="AE30" i="11"/>
  <c r="AD30" i="11"/>
  <c r="W30" i="11"/>
  <c r="V30" i="11"/>
  <c r="U30" i="11"/>
  <c r="N30" i="11"/>
  <c r="M30" i="11"/>
  <c r="L30" i="11"/>
  <c r="AF29" i="11"/>
  <c r="AE29" i="11"/>
  <c r="AD29" i="11"/>
  <c r="W29" i="11"/>
  <c r="V29" i="11"/>
  <c r="U29" i="11"/>
  <c r="N29" i="11"/>
  <c r="M29" i="11"/>
  <c r="L29" i="11"/>
  <c r="AD28" i="11"/>
  <c r="W28" i="11"/>
  <c r="V28" i="11"/>
  <c r="U28" i="11"/>
  <c r="N28" i="11"/>
  <c r="M28" i="11"/>
  <c r="L28" i="11"/>
  <c r="AE27" i="11"/>
  <c r="W27" i="11"/>
  <c r="V27" i="11"/>
  <c r="U27" i="11"/>
  <c r="N27" i="11"/>
  <c r="M27" i="11"/>
  <c r="L27" i="11"/>
  <c r="AE26" i="11"/>
  <c r="W26" i="11"/>
  <c r="V26" i="11"/>
  <c r="U26" i="11"/>
  <c r="N26" i="11"/>
  <c r="M26" i="11"/>
  <c r="L26" i="11"/>
  <c r="AD25" i="11"/>
  <c r="W25" i="11"/>
  <c r="V25" i="11"/>
  <c r="U25" i="11"/>
  <c r="N25" i="11"/>
  <c r="M25" i="11"/>
  <c r="L25" i="11"/>
  <c r="AF24" i="11"/>
  <c r="AE24" i="11"/>
  <c r="AD24" i="11"/>
  <c r="W24" i="11"/>
  <c r="V24" i="11"/>
  <c r="U24" i="11"/>
  <c r="N24" i="11"/>
  <c r="M24" i="11"/>
  <c r="L24" i="11"/>
  <c r="AF23" i="11"/>
  <c r="AE23" i="11"/>
  <c r="AD23" i="11"/>
  <c r="W23" i="11"/>
  <c r="V23" i="11"/>
  <c r="U23" i="11"/>
  <c r="N23" i="11"/>
  <c r="M23" i="11"/>
  <c r="L23" i="11"/>
  <c r="AF22" i="11"/>
  <c r="AE22" i="11"/>
  <c r="AD22" i="11"/>
  <c r="W22" i="11"/>
  <c r="V22" i="11"/>
  <c r="U22" i="11"/>
  <c r="N22" i="11"/>
  <c r="M22" i="11"/>
  <c r="L22" i="11"/>
  <c r="AF21" i="11"/>
  <c r="AE21" i="11"/>
  <c r="AD21" i="11"/>
  <c r="W21" i="11"/>
  <c r="V21" i="11"/>
  <c r="U21" i="11"/>
  <c r="N21" i="11"/>
  <c r="M21" i="11"/>
  <c r="L21" i="11"/>
  <c r="AF20" i="11"/>
  <c r="AE20" i="11"/>
  <c r="AD20" i="11"/>
  <c r="W20" i="11"/>
  <c r="V20" i="11"/>
  <c r="U20" i="11"/>
  <c r="N20" i="11"/>
  <c r="M20" i="11"/>
  <c r="L20" i="11"/>
  <c r="AF19" i="11"/>
  <c r="AE19" i="11"/>
  <c r="AD19" i="11"/>
  <c r="W19" i="11"/>
  <c r="V19" i="11"/>
  <c r="U19" i="11"/>
  <c r="N19" i="11"/>
  <c r="M19" i="11"/>
  <c r="L19" i="11"/>
  <c r="AF18" i="11"/>
  <c r="AE18" i="11"/>
  <c r="AD18" i="11"/>
  <c r="W18" i="11"/>
  <c r="V18" i="11"/>
  <c r="U18" i="11"/>
  <c r="N18" i="11"/>
  <c r="M18" i="11"/>
  <c r="L18" i="11"/>
  <c r="AF17" i="11"/>
  <c r="AE17" i="11"/>
  <c r="AD17" i="11"/>
  <c r="W17" i="11"/>
  <c r="V17" i="11"/>
  <c r="U17" i="11"/>
  <c r="N17" i="11"/>
  <c r="M17" i="11"/>
  <c r="L17" i="11"/>
  <c r="AF16" i="11"/>
  <c r="AE16" i="11"/>
  <c r="AD16" i="11"/>
  <c r="W16" i="11"/>
  <c r="V16" i="11"/>
  <c r="U16" i="11"/>
  <c r="N16" i="11"/>
  <c r="M16" i="11"/>
  <c r="L16" i="11"/>
  <c r="AF15" i="11"/>
  <c r="AE15" i="11"/>
  <c r="AD15" i="11"/>
  <c r="W15" i="11"/>
  <c r="V15" i="11"/>
  <c r="U15" i="11"/>
  <c r="N15" i="11"/>
  <c r="M15" i="11"/>
  <c r="L15" i="11"/>
  <c r="AF14" i="11"/>
  <c r="AE14" i="11"/>
  <c r="AD14" i="11"/>
  <c r="W14" i="11"/>
  <c r="V14" i="11"/>
  <c r="U14" i="11"/>
  <c r="N14" i="11"/>
  <c r="M14" i="11"/>
  <c r="L14" i="11"/>
  <c r="AF13" i="11"/>
  <c r="AE13" i="11"/>
  <c r="AD13" i="11"/>
  <c r="W13" i="11"/>
  <c r="V13" i="11"/>
  <c r="U13" i="11"/>
  <c r="N13" i="11"/>
  <c r="M13" i="11"/>
  <c r="L13" i="11"/>
  <c r="C28" i="18" l="1"/>
  <c r="C31" i="18"/>
  <c r="C5" i="18"/>
  <c r="C26" i="18"/>
  <c r="C10" i="18"/>
  <c r="C15" i="18"/>
  <c r="C34" i="18"/>
  <c r="C12" i="18"/>
  <c r="C42" i="18"/>
  <c r="C30" i="18"/>
  <c r="C32" i="18"/>
  <c r="C16" i="18"/>
  <c r="C27" i="18"/>
  <c r="C33" i="18"/>
  <c r="C11" i="18"/>
  <c r="D28" i="18"/>
  <c r="D34" i="18"/>
  <c r="J9" i="13"/>
  <c r="J11" i="13"/>
  <c r="R14" i="11"/>
  <c r="AA15" i="11" s="1"/>
  <c r="R16" i="11"/>
  <c r="AA16" i="11" s="1"/>
  <c r="B10" i="13"/>
  <c r="R10" i="11"/>
  <c r="R15" i="11"/>
  <c r="B7" i="13"/>
  <c r="AA25" i="11"/>
  <c r="BE29" i="11" a="1"/>
  <c r="BE29" i="11" s="1"/>
  <c r="AA26" i="11"/>
  <c r="BE27" i="11" a="1"/>
  <c r="BE27" i="11" s="1"/>
  <c r="BB8" i="11"/>
  <c r="B8" i="13"/>
  <c r="BD14" i="11" a="1"/>
  <c r="BD14" i="11" s="1"/>
  <c r="BD13" i="11" a="1"/>
  <c r="BD13" i="11" s="1"/>
  <c r="B13" i="13"/>
  <c r="BB13" i="11"/>
  <c r="R17" i="11"/>
  <c r="BD15" i="11" a="1"/>
  <c r="BD15" i="11" s="1"/>
  <c r="B15" i="13"/>
  <c r="BB15" i="11"/>
  <c r="R13" i="11"/>
  <c r="BB17" i="11"/>
  <c r="B17" i="13"/>
  <c r="BD17" i="11" a="1"/>
  <c r="BD17" i="11" s="1"/>
  <c r="AA22" i="11"/>
  <c r="BF20" i="11" s="1" a="1"/>
  <c r="BF20" i="11" s="1"/>
  <c r="B20" i="13"/>
  <c r="BB20" i="11"/>
  <c r="B22" i="13"/>
  <c r="BB22" i="11"/>
  <c r="BB25" i="11"/>
  <c r="BD26" i="11" a="1"/>
  <c r="BD26" i="11" s="1"/>
  <c r="BD25" i="11" a="1"/>
  <c r="BD25" i="11" s="1"/>
  <c r="B25" i="13"/>
  <c r="BD27" i="11" a="1"/>
  <c r="BD27" i="11" s="1"/>
  <c r="B27" i="13"/>
  <c r="BB27" i="11"/>
  <c r="BB29" i="11"/>
  <c r="B29" i="13"/>
  <c r="BD29" i="11" a="1"/>
  <c r="BD29" i="11" s="1"/>
  <c r="BB7" i="11"/>
  <c r="B14" i="13"/>
  <c r="BB14" i="11"/>
  <c r="B16" i="13"/>
  <c r="BB16" i="11"/>
  <c r="B19" i="13"/>
  <c r="BD20" i="11" a="1"/>
  <c r="BD20" i="11" s="1"/>
  <c r="BD19" i="11" a="1"/>
  <c r="BD19" i="11" s="1"/>
  <c r="BB19" i="11"/>
  <c r="R23" i="11"/>
  <c r="B21" i="13"/>
  <c r="BD21" i="11" a="1"/>
  <c r="BD21" i="11" s="1"/>
  <c r="BB21" i="11"/>
  <c r="R19" i="11"/>
  <c r="BB23" i="11"/>
  <c r="BD23" i="11" a="1"/>
  <c r="BD23" i="11" s="1"/>
  <c r="B26" i="13"/>
  <c r="BB26" i="11"/>
  <c r="B28" i="13"/>
  <c r="BB28" i="11"/>
  <c r="BB10" i="11"/>
  <c r="R9" i="11"/>
  <c r="BD9" i="11" a="1"/>
  <c r="BD9" i="11" s="1"/>
  <c r="BB9" i="11"/>
  <c r="BD11" i="11" a="1"/>
  <c r="BD11" i="11" s="1"/>
  <c r="BB11" i="11"/>
  <c r="R21" i="11"/>
  <c r="R27" i="11"/>
  <c r="D12" i="18" s="1"/>
  <c r="E12" i="18" l="1"/>
  <c r="F12" i="18" s="1"/>
  <c r="E34" i="18"/>
  <c r="F34" i="18" s="1"/>
  <c r="E42" i="18"/>
  <c r="E28" i="18"/>
  <c r="F28" i="18" s="1"/>
  <c r="D11" i="18"/>
  <c r="D42" i="18"/>
  <c r="D32" i="18"/>
  <c r="D16" i="18"/>
  <c r="D27" i="18"/>
  <c r="D5" i="18"/>
  <c r="D33" i="18"/>
  <c r="D31" i="18"/>
  <c r="D15" i="18"/>
  <c r="D10" i="18"/>
  <c r="D30" i="18"/>
  <c r="D26" i="18"/>
  <c r="J28" i="13"/>
  <c r="J26" i="13"/>
  <c r="J23" i="13"/>
  <c r="J21" i="13"/>
  <c r="J19" i="13"/>
  <c r="J16" i="13"/>
  <c r="J14" i="13"/>
  <c r="J29" i="13"/>
  <c r="J27" i="13"/>
  <c r="E27" i="13"/>
  <c r="J25" i="13"/>
  <c r="J22" i="13"/>
  <c r="J20" i="13"/>
  <c r="J17" i="13"/>
  <c r="J15" i="13"/>
  <c r="J13" i="13"/>
  <c r="J8" i="13"/>
  <c r="J7" i="13"/>
  <c r="J10" i="13"/>
  <c r="D28" i="13"/>
  <c r="C28" i="13"/>
  <c r="E28" i="13"/>
  <c r="D26" i="13"/>
  <c r="C26" i="13"/>
  <c r="E26" i="13"/>
  <c r="C19" i="13"/>
  <c r="D19" i="13"/>
  <c r="C29" i="13"/>
  <c r="E29" i="13"/>
  <c r="D29" i="13"/>
  <c r="C22" i="13"/>
  <c r="D22" i="13"/>
  <c r="C17" i="13"/>
  <c r="D17" i="13"/>
  <c r="C15" i="13"/>
  <c r="D15" i="13"/>
  <c r="D13" i="13"/>
  <c r="C13" i="13"/>
  <c r="D23" i="13"/>
  <c r="C23" i="13"/>
  <c r="D21" i="13"/>
  <c r="C21" i="13"/>
  <c r="D16" i="13"/>
  <c r="C16" i="13"/>
  <c r="D14" i="13"/>
  <c r="C14" i="13"/>
  <c r="C27" i="13"/>
  <c r="D27" i="13"/>
  <c r="D25" i="13"/>
  <c r="C25" i="13"/>
  <c r="C20" i="13"/>
  <c r="D20" i="13"/>
  <c r="BE25" i="11" a="1"/>
  <c r="BE25" i="11" s="1"/>
  <c r="AA17" i="11"/>
  <c r="BE13" i="11" a="1"/>
  <c r="BE13" i="11" s="1"/>
  <c r="AA23" i="11"/>
  <c r="BF19" i="11" s="1" a="1"/>
  <c r="BF19" i="11" s="1"/>
  <c r="BE20" i="11" a="1"/>
  <c r="BE20" i="11" s="1"/>
  <c r="BE19" i="11" a="1"/>
  <c r="BE19" i="11" s="1"/>
  <c r="AA19" i="11"/>
  <c r="BE23" i="11" a="1"/>
  <c r="BE23" i="11" s="1"/>
  <c r="BE22" i="11" a="1"/>
  <c r="BE22" i="11" s="1"/>
  <c r="AA20" i="11"/>
  <c r="BE21" i="11" a="1"/>
  <c r="BE21" i="11" s="1"/>
  <c r="AA13" i="11"/>
  <c r="BE17" i="11" a="1"/>
  <c r="BE17" i="11" s="1"/>
  <c r="AA14" i="11"/>
  <c r="BE15" i="11" a="1"/>
  <c r="BE15" i="11" s="1"/>
  <c r="AA29" i="11"/>
  <c r="AJ26" i="11" s="1"/>
  <c r="F56" i="13" l="1"/>
  <c r="I56" i="13" s="1"/>
  <c r="F55" i="13"/>
  <c r="I55" i="13" s="1"/>
  <c r="F57" i="13"/>
  <c r="I57" i="13" s="1"/>
  <c r="F49" i="13"/>
  <c r="I49" i="13" s="1"/>
  <c r="F53" i="13"/>
  <c r="I53" i="13" s="1"/>
  <c r="F50" i="13"/>
  <c r="I50" i="13" s="1"/>
  <c r="F51" i="13"/>
  <c r="I51" i="13" s="1"/>
  <c r="E32" i="18"/>
  <c r="F32" i="18" s="1"/>
  <c r="E16" i="18"/>
  <c r="F16" i="18" s="1"/>
  <c r="E33" i="18"/>
  <c r="F33" i="18" s="1"/>
  <c r="E27" i="18"/>
  <c r="F27" i="18" s="1"/>
  <c r="E5" i="18"/>
  <c r="F5" i="18" s="1"/>
  <c r="E11" i="18"/>
  <c r="E30" i="18"/>
  <c r="E31" i="18"/>
  <c r="E26" i="18"/>
  <c r="F26" i="18" s="1"/>
  <c r="E10" i="18"/>
  <c r="E15" i="18"/>
  <c r="F42" i="18"/>
  <c r="AK17" i="11"/>
  <c r="AK15" i="11"/>
  <c r="AJ22" i="11"/>
  <c r="AK14" i="11"/>
  <c r="AJ13" i="11"/>
  <c r="AK27" i="11"/>
  <c r="AK26" i="11"/>
  <c r="AK21" i="11"/>
  <c r="AK20" i="11"/>
  <c r="AK13" i="11"/>
  <c r="AJ14" i="11"/>
  <c r="AJ25" i="11"/>
  <c r="AJ29" i="11"/>
  <c r="AJ19" i="11"/>
  <c r="AJ23" i="11"/>
  <c r="AJ28" i="11"/>
  <c r="AJ20" i="11"/>
  <c r="AJ17" i="11"/>
  <c r="AK16" i="11"/>
  <c r="AJ27" i="11"/>
  <c r="AK25" i="11"/>
  <c r="AJ21" i="11"/>
  <c r="AK19" i="11"/>
  <c r="AJ16" i="11"/>
  <c r="AJ15" i="11"/>
  <c r="AK29" i="11"/>
  <c r="AK28" i="11"/>
  <c r="AK23" i="11"/>
  <c r="AK22" i="11"/>
  <c r="AM27" i="11"/>
  <c r="AL27" i="11"/>
  <c r="AM26" i="11"/>
  <c r="AL26" i="11"/>
  <c r="AL28" i="11"/>
  <c r="AM29" i="11"/>
  <c r="AL29" i="11"/>
  <c r="AM28" i="11"/>
  <c r="AL20" i="11"/>
  <c r="AM21" i="11"/>
  <c r="F28" i="13"/>
  <c r="E20" i="13"/>
  <c r="F20" i="13" s="1"/>
  <c r="E14" i="13"/>
  <c r="F14" i="13" s="1"/>
  <c r="E21" i="13"/>
  <c r="E15" i="13"/>
  <c r="E22" i="13"/>
  <c r="F22" i="13" s="1"/>
  <c r="E25" i="13"/>
  <c r="E16" i="13"/>
  <c r="F16" i="13" s="1"/>
  <c r="E23" i="13"/>
  <c r="E13" i="13"/>
  <c r="E17" i="13"/>
  <c r="E19" i="13"/>
  <c r="F19" i="13" s="1"/>
  <c r="AM19" i="11"/>
  <c r="AL14" i="11"/>
  <c r="AM14" i="11"/>
  <c r="AL13" i="11"/>
  <c r="F27" i="13"/>
  <c r="BC19" i="11"/>
  <c r="AL19" i="11"/>
  <c r="BC20" i="11"/>
  <c r="F29" i="13"/>
  <c r="AM13" i="11"/>
  <c r="AL21" i="11"/>
  <c r="AM15" i="11"/>
  <c r="AL15" i="11"/>
  <c r="AM20" i="11"/>
  <c r="F26" i="13"/>
  <c r="BF15" i="11" a="1"/>
  <c r="BF15" i="11" s="1"/>
  <c r="BF17" i="11" a="1"/>
  <c r="BF17" i="11" s="1"/>
  <c r="AM16" i="11"/>
  <c r="AM17" i="11"/>
  <c r="AL17" i="11"/>
  <c r="AL16" i="11"/>
  <c r="BE24" i="11"/>
  <c r="AL25" i="11"/>
  <c r="BF25" i="11" a="1"/>
  <c r="BF25" i="11" s="1"/>
  <c r="BF21" i="11" a="1"/>
  <c r="BF21" i="11" s="1"/>
  <c r="BF23" i="11" a="1"/>
  <c r="BF23" i="11" s="1"/>
  <c r="AM22" i="11"/>
  <c r="AM23" i="11"/>
  <c r="AL23" i="11"/>
  <c r="AL22" i="11"/>
  <c r="BF13" i="11" a="1"/>
  <c r="BF13" i="11" s="1"/>
  <c r="AM25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V12" i="11"/>
  <c r="U12" i="11"/>
  <c r="V11" i="11"/>
  <c r="U11" i="11"/>
  <c r="V10" i="11"/>
  <c r="U10" i="11"/>
  <c r="V9" i="11"/>
  <c r="U9" i="11"/>
  <c r="V8" i="11"/>
  <c r="U8" i="11"/>
  <c r="V7" i="11"/>
  <c r="U7" i="11"/>
  <c r="L12" i="11"/>
  <c r="L11" i="11"/>
  <c r="L10" i="11"/>
  <c r="M10" i="11"/>
  <c r="M9" i="11"/>
  <c r="L9" i="11"/>
  <c r="M8" i="11"/>
  <c r="L8" i="11"/>
  <c r="L7" i="11"/>
  <c r="AQ16" i="11" l="1"/>
  <c r="AQ27" i="11"/>
  <c r="AQ28" i="11"/>
  <c r="AQ45" i="11"/>
  <c r="AQ48" i="11"/>
  <c r="AQ51" i="11"/>
  <c r="AQ49" i="11"/>
  <c r="AQ39" i="11"/>
  <c r="AQ43" i="11"/>
  <c r="AQ54" i="11"/>
  <c r="AQ53" i="11"/>
  <c r="AQ44" i="11"/>
  <c r="AQ55" i="11"/>
  <c r="AQ47" i="11"/>
  <c r="AQ50" i="11"/>
  <c r="AQ56" i="11"/>
  <c r="AQ57" i="11"/>
  <c r="AQ35" i="11"/>
  <c r="AQ37" i="11"/>
  <c r="AQ38" i="11"/>
  <c r="AQ41" i="11"/>
  <c r="AQ42" i="11"/>
  <c r="AQ36" i="11"/>
  <c r="AQ25" i="11"/>
  <c r="AQ23" i="11"/>
  <c r="AQ14" i="11"/>
  <c r="AQ22" i="11"/>
  <c r="AQ21" i="11"/>
  <c r="AQ17" i="11"/>
  <c r="AQ19" i="11"/>
  <c r="AQ15" i="11"/>
  <c r="AQ20" i="11"/>
  <c r="AQ29" i="11"/>
  <c r="AQ13" i="11"/>
  <c r="AQ26" i="11"/>
  <c r="F58" i="13"/>
  <c r="I58" i="13" s="1"/>
  <c r="AK46" i="11"/>
  <c r="AM46" i="11"/>
  <c r="AL52" i="11"/>
  <c r="AL46" i="11"/>
  <c r="AM52" i="11"/>
  <c r="AK52" i="11"/>
  <c r="G22" i="13"/>
  <c r="G33" i="18"/>
  <c r="H16" i="13"/>
  <c r="H15" i="18"/>
  <c r="H20" i="13"/>
  <c r="H16" i="18"/>
  <c r="H13" i="13"/>
  <c r="H26" i="18"/>
  <c r="G14" i="13"/>
  <c r="G30" i="18"/>
  <c r="H28" i="13"/>
  <c r="H42" i="18"/>
  <c r="G26" i="13"/>
  <c r="G34" i="18"/>
  <c r="F11" i="18"/>
  <c r="F15" i="18"/>
  <c r="H19" i="13"/>
  <c r="H32" i="18"/>
  <c r="G29" i="13"/>
  <c r="G28" i="18"/>
  <c r="H26" i="13"/>
  <c r="H34" i="18"/>
  <c r="G16" i="13"/>
  <c r="I16" i="13" s="1"/>
  <c r="G15" i="18"/>
  <c r="H25" i="13"/>
  <c r="H11" i="18"/>
  <c r="H23" i="13"/>
  <c r="H5" i="18"/>
  <c r="G17" i="13"/>
  <c r="G31" i="18"/>
  <c r="H15" i="13"/>
  <c r="H10" i="18"/>
  <c r="G13" i="13"/>
  <c r="G26" i="18"/>
  <c r="H21" i="13"/>
  <c r="H27" i="18"/>
  <c r="H29" i="13"/>
  <c r="H28" i="18"/>
  <c r="G27" i="13"/>
  <c r="G12" i="18"/>
  <c r="F10" i="18"/>
  <c r="F30" i="18"/>
  <c r="G23" i="13"/>
  <c r="G5" i="18"/>
  <c r="G15" i="13"/>
  <c r="G10" i="18"/>
  <c r="H22" i="13"/>
  <c r="H33" i="18"/>
  <c r="G25" i="13"/>
  <c r="G11" i="18"/>
  <c r="H17" i="13"/>
  <c r="H31" i="18"/>
  <c r="G21" i="13"/>
  <c r="G27" i="18"/>
  <c r="G19" i="13"/>
  <c r="G32" i="18"/>
  <c r="H14" i="13"/>
  <c r="H30" i="18"/>
  <c r="G20" i="13"/>
  <c r="G16" i="18"/>
  <c r="G28" i="13"/>
  <c r="G42" i="18"/>
  <c r="H27" i="13"/>
  <c r="H12" i="18"/>
  <c r="F31" i="18"/>
  <c r="AK24" i="11"/>
  <c r="AL24" i="11"/>
  <c r="AM24" i="11"/>
  <c r="AL18" i="11"/>
  <c r="AM18" i="11"/>
  <c r="AK18" i="11"/>
  <c r="F25" i="13"/>
  <c r="BC21" i="11"/>
  <c r="F21" i="13"/>
  <c r="BC17" i="11"/>
  <c r="F17" i="13"/>
  <c r="BC13" i="11"/>
  <c r="F13" i="13"/>
  <c r="BC23" i="11"/>
  <c r="F23" i="13"/>
  <c r="BC15" i="11"/>
  <c r="F15" i="13"/>
  <c r="BC25" i="11"/>
  <c r="AF9" i="11"/>
  <c r="AF10" i="11"/>
  <c r="AF11" i="11"/>
  <c r="AF12" i="11"/>
  <c r="AF8" i="11"/>
  <c r="AF7" i="11"/>
  <c r="W9" i="11"/>
  <c r="W10" i="11"/>
  <c r="W11" i="11"/>
  <c r="W12" i="11"/>
  <c r="W8" i="11"/>
  <c r="W7" i="11"/>
  <c r="N12" i="11"/>
  <c r="N10" i="11"/>
  <c r="N8" i="11"/>
  <c r="N9" i="11"/>
  <c r="N11" i="11"/>
  <c r="N7" i="11"/>
  <c r="C7" i="18"/>
  <c r="R7" i="11"/>
  <c r="C29" i="18"/>
  <c r="AA9" i="11"/>
  <c r="I23" i="13" l="1"/>
  <c r="I17" i="13"/>
  <c r="I20" i="13"/>
  <c r="I19" i="13"/>
  <c r="I15" i="13"/>
  <c r="I13" i="13"/>
  <c r="I21" i="13"/>
  <c r="I28" i="13"/>
  <c r="I26" i="13"/>
  <c r="I14" i="13"/>
  <c r="I22" i="13"/>
  <c r="I25" i="13"/>
  <c r="I27" i="13"/>
  <c r="I29" i="13"/>
  <c r="AR43" i="11"/>
  <c r="AR45" i="11"/>
  <c r="AR44" i="11"/>
  <c r="AR42" i="11"/>
  <c r="AR41" i="11"/>
  <c r="AR53" i="11"/>
  <c r="AR54" i="11"/>
  <c r="AR55" i="11"/>
  <c r="AR56" i="11"/>
  <c r="AR57" i="11"/>
  <c r="AR36" i="11"/>
  <c r="AR39" i="11"/>
  <c r="AR35" i="11"/>
  <c r="AR38" i="11"/>
  <c r="AR37" i="11"/>
  <c r="AR51" i="11"/>
  <c r="AR50" i="11"/>
  <c r="AR47" i="11"/>
  <c r="AR48" i="11"/>
  <c r="AR49" i="11"/>
  <c r="C41" i="18"/>
  <c r="C9" i="18"/>
  <c r="C25" i="18"/>
  <c r="D9" i="18"/>
  <c r="D29" i="18"/>
  <c r="D41" i="18"/>
  <c r="D7" i="18"/>
  <c r="W31" i="11"/>
  <c r="N31" i="11"/>
  <c r="C11" i="13"/>
  <c r="C10" i="13"/>
  <c r="C8" i="13"/>
  <c r="C7" i="13"/>
  <c r="C9" i="13"/>
  <c r="D10" i="13"/>
  <c r="D11" i="13"/>
  <c r="D8" i="13"/>
  <c r="D7" i="13"/>
  <c r="AA10" i="11"/>
  <c r="BE7" i="11" a="1"/>
  <c r="BE7" i="11" s="1"/>
  <c r="BE11" i="11" a="1"/>
  <c r="BE11" i="11" s="1"/>
  <c r="AA7" i="11"/>
  <c r="AA11" i="11"/>
  <c r="R11" i="11"/>
  <c r="AX35" i="11" l="1"/>
  <c r="AV35" i="11"/>
  <c r="AW35" i="11"/>
  <c r="AU35" i="11"/>
  <c r="H27" i="12" s="1"/>
  <c r="AY35" i="11"/>
  <c r="AZ35" i="11"/>
  <c r="AZ39" i="11"/>
  <c r="AV39" i="11"/>
  <c r="AW39" i="11"/>
  <c r="AX39" i="11"/>
  <c r="AY39" i="11"/>
  <c r="AU39" i="11"/>
  <c r="Q36" i="12" s="1"/>
  <c r="R36" i="12" s="1"/>
  <c r="AW55" i="11"/>
  <c r="AX55" i="11"/>
  <c r="AV55" i="11"/>
  <c r="AY55" i="11"/>
  <c r="AZ55" i="11"/>
  <c r="AU55" i="11"/>
  <c r="C32" i="12" s="1"/>
  <c r="T32" i="12" s="1"/>
  <c r="AZ42" i="11"/>
  <c r="AY42" i="11"/>
  <c r="AU42" i="11"/>
  <c r="C29" i="12" s="1"/>
  <c r="T29" i="12" s="1"/>
  <c r="AV42" i="11"/>
  <c r="AW42" i="11"/>
  <c r="AX42" i="11"/>
  <c r="AW56" i="11"/>
  <c r="AY56" i="11"/>
  <c r="AX56" i="11"/>
  <c r="AV56" i="11"/>
  <c r="AZ56" i="11"/>
  <c r="AU56" i="11"/>
  <c r="Q30" i="12" s="1"/>
  <c r="R30" i="12" s="1"/>
  <c r="AX37" i="11"/>
  <c r="AU37" i="11"/>
  <c r="C33" i="12" s="1"/>
  <c r="AY37" i="11"/>
  <c r="AV37" i="11"/>
  <c r="AZ37" i="11"/>
  <c r="AW37" i="11"/>
  <c r="AU36" i="11"/>
  <c r="C27" i="12" s="1"/>
  <c r="AV36" i="11"/>
  <c r="AY36" i="11"/>
  <c r="AZ36" i="11"/>
  <c r="AX36" i="11"/>
  <c r="AW36" i="11"/>
  <c r="AX54" i="11"/>
  <c r="AW54" i="11"/>
  <c r="AU54" i="11"/>
  <c r="C34" i="12" s="1"/>
  <c r="T34" i="12" s="1"/>
  <c r="AY54" i="11"/>
  <c r="AV54" i="11"/>
  <c r="AZ54" i="11"/>
  <c r="AU44" i="11"/>
  <c r="Q28" i="12" s="1"/>
  <c r="R28" i="12" s="1"/>
  <c r="AZ44" i="11"/>
  <c r="AW44" i="11"/>
  <c r="AX44" i="11"/>
  <c r="AY44" i="11"/>
  <c r="AV44" i="11"/>
  <c r="AU38" i="11"/>
  <c r="Q27" i="12" s="1"/>
  <c r="R27" i="12" s="1"/>
  <c r="AX38" i="11"/>
  <c r="AV38" i="11"/>
  <c r="AY38" i="11"/>
  <c r="AZ38" i="11"/>
  <c r="AW38" i="11"/>
  <c r="AW57" i="11"/>
  <c r="AV57" i="11"/>
  <c r="AX57" i="11"/>
  <c r="AZ57" i="11"/>
  <c r="AY57" i="11"/>
  <c r="AU57" i="11"/>
  <c r="Q39" i="12" s="1"/>
  <c r="R39" i="12" s="1"/>
  <c r="AZ53" i="11"/>
  <c r="AU53" i="11"/>
  <c r="H34" i="12" s="1"/>
  <c r="X33" i="12" s="1"/>
  <c r="AX53" i="11"/>
  <c r="AV53" i="11"/>
  <c r="AY53" i="11"/>
  <c r="AW53" i="11"/>
  <c r="AV45" i="11"/>
  <c r="AU45" i="11"/>
  <c r="Q37" i="12" s="1"/>
  <c r="R37" i="12" s="1"/>
  <c r="AW45" i="11"/>
  <c r="AX45" i="11"/>
  <c r="AZ45" i="11"/>
  <c r="AY45" i="11"/>
  <c r="AY41" i="11"/>
  <c r="AZ41" i="11"/>
  <c r="AX41" i="11"/>
  <c r="AV41" i="11"/>
  <c r="AW41" i="11"/>
  <c r="AU41" i="11"/>
  <c r="H28" i="12" s="1"/>
  <c r="X29" i="12" s="1"/>
  <c r="AW43" i="11"/>
  <c r="AV43" i="11"/>
  <c r="AZ43" i="11"/>
  <c r="AU43" i="11"/>
  <c r="C28" i="12" s="1"/>
  <c r="AY43" i="11"/>
  <c r="AX43" i="11"/>
  <c r="AU49" i="11"/>
  <c r="AY49" i="11"/>
  <c r="AV49" i="11"/>
  <c r="AX49" i="11"/>
  <c r="AZ49" i="11"/>
  <c r="AW49" i="11"/>
  <c r="AZ47" i="11"/>
  <c r="AX47" i="11"/>
  <c r="AV47" i="11"/>
  <c r="AY47" i="11"/>
  <c r="AU47" i="11"/>
  <c r="AW47" i="11"/>
  <c r="AU51" i="11"/>
  <c r="Q38" i="12" s="1"/>
  <c r="R38" i="12" s="1"/>
  <c r="AY51" i="11"/>
  <c r="AV51" i="11"/>
  <c r="AX51" i="11"/>
  <c r="AZ51" i="11"/>
  <c r="AW51" i="11"/>
  <c r="AU48" i="11"/>
  <c r="C31" i="12" s="1"/>
  <c r="AY48" i="11"/>
  <c r="AV48" i="11"/>
  <c r="AX48" i="11"/>
  <c r="AZ48" i="11"/>
  <c r="AW48" i="11"/>
  <c r="AU50" i="11"/>
  <c r="Q29" i="12" s="1"/>
  <c r="R29" i="12" s="1"/>
  <c r="AY50" i="11"/>
  <c r="AV50" i="11"/>
  <c r="AX50" i="11"/>
  <c r="AZ50" i="11"/>
  <c r="AW50" i="11"/>
  <c r="AT53" i="11"/>
  <c r="AT41" i="11"/>
  <c r="AT47" i="11"/>
  <c r="D9" i="13"/>
  <c r="D31" i="13" s="1"/>
  <c r="BF7" i="11" a="1"/>
  <c r="BF7" i="11" s="1"/>
  <c r="C61" i="13"/>
  <c r="D25" i="18"/>
  <c r="E7" i="18"/>
  <c r="F7" i="18" s="1"/>
  <c r="E11" i="13"/>
  <c r="C31" i="13"/>
  <c r="AA8" i="11"/>
  <c r="F38" i="14" s="1"/>
  <c r="BE9" i="11" a="1"/>
  <c r="BE9" i="11" s="1"/>
  <c r="AM11" i="11" l="1"/>
  <c r="V33" i="12" a="1"/>
  <c r="V33" i="12" s="1"/>
  <c r="W33" i="12" s="1"/>
  <c r="K47" i="13"/>
  <c r="L47" i="13" s="1"/>
  <c r="F24" i="14"/>
  <c r="F4" i="14"/>
  <c r="F22" i="14"/>
  <c r="F31" i="14"/>
  <c r="F28" i="14"/>
  <c r="F30" i="14"/>
  <c r="F15" i="14"/>
  <c r="F34" i="14"/>
  <c r="F12" i="14"/>
  <c r="F36" i="14"/>
  <c r="F20" i="14"/>
  <c r="F21" i="14"/>
  <c r="F23" i="14"/>
  <c r="F8" i="14"/>
  <c r="F11" i="14"/>
  <c r="F40" i="14"/>
  <c r="F17" i="14"/>
  <c r="T33" i="12"/>
  <c r="V34" i="12" a="1"/>
  <c r="V34" i="12" s="1"/>
  <c r="W34" i="12" s="1"/>
  <c r="F26" i="14"/>
  <c r="E9" i="13"/>
  <c r="F39" i="14"/>
  <c r="F33" i="14"/>
  <c r="F41" i="14"/>
  <c r="F10" i="14"/>
  <c r="F27" i="14"/>
  <c r="F9" i="14"/>
  <c r="F2" i="14"/>
  <c r="F13" i="14"/>
  <c r="F25" i="14"/>
  <c r="F37" i="14"/>
  <c r="F5" i="14"/>
  <c r="F16" i="14"/>
  <c r="F19" i="14"/>
  <c r="F6" i="14"/>
  <c r="F7" i="14"/>
  <c r="F3" i="14"/>
  <c r="F32" i="14"/>
  <c r="F14" i="14"/>
  <c r="F29" i="14"/>
  <c r="F18" i="14"/>
  <c r="Z28" i="12" a="1"/>
  <c r="Z28" i="12" s="1"/>
  <c r="AA28" i="12" s="1"/>
  <c r="F35" i="14"/>
  <c r="H33" i="12"/>
  <c r="Z32" i="12" s="1" a="1"/>
  <c r="Z32" i="12" s="1"/>
  <c r="AA32" i="12" s="1"/>
  <c r="C30" i="12"/>
  <c r="T30" i="12" s="1"/>
  <c r="F40" i="13"/>
  <c r="I40" i="13" s="1"/>
  <c r="F39" i="13"/>
  <c r="I39" i="13" s="1"/>
  <c r="F38" i="13"/>
  <c r="I38" i="13" s="1"/>
  <c r="D61" i="13"/>
  <c r="F37" i="13"/>
  <c r="I37" i="13" s="1"/>
  <c r="F41" i="13"/>
  <c r="I41" i="13" s="1"/>
  <c r="E29" i="18"/>
  <c r="E25" i="18"/>
  <c r="E9" i="18"/>
  <c r="E41" i="18"/>
  <c r="AL7" i="11"/>
  <c r="AM9" i="11"/>
  <c r="AL9" i="11"/>
  <c r="AM10" i="11"/>
  <c r="AL11" i="11"/>
  <c r="AJ11" i="11"/>
  <c r="AK7" i="11"/>
  <c r="AK10" i="11"/>
  <c r="AK9" i="11"/>
  <c r="AK8" i="11"/>
  <c r="AK11" i="11"/>
  <c r="AJ9" i="11"/>
  <c r="AJ8" i="11"/>
  <c r="AJ10" i="11"/>
  <c r="AJ7" i="11"/>
  <c r="BF9" i="11" a="1"/>
  <c r="BF9" i="11" s="1"/>
  <c r="AM8" i="11"/>
  <c r="AL8" i="11"/>
  <c r="AL10" i="11"/>
  <c r="AM7" i="11"/>
  <c r="H7" i="18" s="1"/>
  <c r="BF11" i="11" a="1"/>
  <c r="BF11" i="11" s="1"/>
  <c r="F11" i="13" s="1"/>
  <c r="E10" i="13"/>
  <c r="F10" i="13" s="1"/>
  <c r="E7" i="13"/>
  <c r="E8" i="13"/>
  <c r="F8" i="13" s="1"/>
  <c r="M47" i="13" l="1"/>
  <c r="V30" i="12" a="1"/>
  <c r="V30" i="12" s="1"/>
  <c r="W30" i="12" s="1"/>
  <c r="AQ8" i="11"/>
  <c r="AQ9" i="11"/>
  <c r="AQ7" i="11"/>
  <c r="AQ10" i="11"/>
  <c r="AQ11" i="11"/>
  <c r="V29" i="12" a="1"/>
  <c r="V29" i="12" s="1"/>
  <c r="W29" i="12" s="1"/>
  <c r="AK40" i="11"/>
  <c r="AL40" i="11"/>
  <c r="AM40" i="11"/>
  <c r="E61" i="13"/>
  <c r="H11" i="13"/>
  <c r="H7" i="13"/>
  <c r="H9" i="18"/>
  <c r="G8" i="13"/>
  <c r="G29" i="18"/>
  <c r="H8" i="13"/>
  <c r="H29" i="18"/>
  <c r="G11" i="13"/>
  <c r="G7" i="18"/>
  <c r="G7" i="13"/>
  <c r="G9" i="18"/>
  <c r="F29" i="18"/>
  <c r="H10" i="13"/>
  <c r="H41" i="18"/>
  <c r="F41" i="18"/>
  <c r="G10" i="13"/>
  <c r="G41" i="18"/>
  <c r="G9" i="13"/>
  <c r="G25" i="18"/>
  <c r="F9" i="18"/>
  <c r="H9" i="13"/>
  <c r="H25" i="18"/>
  <c r="F25" i="18"/>
  <c r="AR14" i="11"/>
  <c r="AM12" i="11"/>
  <c r="AL12" i="11"/>
  <c r="AK12" i="11"/>
  <c r="F7" i="13"/>
  <c r="E31" i="13"/>
  <c r="F9" i="13"/>
  <c r="AR29" i="11"/>
  <c r="AX29" i="11" s="1"/>
  <c r="AR20" i="11"/>
  <c r="I10" i="13" l="1"/>
  <c r="I11" i="13"/>
  <c r="I8" i="13"/>
  <c r="I7" i="13"/>
  <c r="I9" i="13"/>
  <c r="AY20" i="11"/>
  <c r="AZ20" i="11"/>
  <c r="AX14" i="11"/>
  <c r="AZ14" i="11"/>
  <c r="AR25" i="11"/>
  <c r="AR19" i="11"/>
  <c r="AX19" i="11" s="1"/>
  <c r="AR21" i="11"/>
  <c r="AR13" i="11"/>
  <c r="AY13" i="11" s="1"/>
  <c r="AR17" i="11"/>
  <c r="AR23" i="11"/>
  <c r="AR28" i="11"/>
  <c r="AY28" i="11" s="1"/>
  <c r="AR22" i="11"/>
  <c r="AR15" i="11"/>
  <c r="AV15" i="11" s="1"/>
  <c r="AR26" i="11"/>
  <c r="AV26" i="11" s="1"/>
  <c r="AR27" i="11"/>
  <c r="AX27" i="11" s="1"/>
  <c r="AR16" i="11"/>
  <c r="AV20" i="11"/>
  <c r="AU29" i="11"/>
  <c r="AY29" i="11"/>
  <c r="AU20" i="11"/>
  <c r="AX20" i="11"/>
  <c r="AU14" i="11"/>
  <c r="AV14" i="11"/>
  <c r="AY14" i="11"/>
  <c r="AV29" i="11"/>
  <c r="AW20" i="11"/>
  <c r="AW29" i="11"/>
  <c r="AW14" i="11"/>
  <c r="AZ29" i="11"/>
  <c r="AR11" i="11"/>
  <c r="AR8" i="11"/>
  <c r="AZ8" i="11" s="1"/>
  <c r="AR10" i="11"/>
  <c r="AR9" i="11"/>
  <c r="AR7" i="11"/>
  <c r="BC11" i="11"/>
  <c r="AX15" i="11" l="1"/>
  <c r="AV13" i="11"/>
  <c r="AW28" i="11"/>
  <c r="AX28" i="11"/>
  <c r="C9" i="12"/>
  <c r="T9" i="12" s="1"/>
  <c r="C12" i="12"/>
  <c r="T12" i="12" s="1"/>
  <c r="AX25" i="11"/>
  <c r="AZ25" i="11"/>
  <c r="AU15" i="11"/>
  <c r="AZ15" i="11"/>
  <c r="AY17" i="11"/>
  <c r="AZ17" i="11"/>
  <c r="AX16" i="11"/>
  <c r="AZ16" i="11"/>
  <c r="AU22" i="11"/>
  <c r="Q9" i="12" s="1"/>
  <c r="AZ22" i="11"/>
  <c r="AX23" i="11"/>
  <c r="AZ23" i="11"/>
  <c r="AU21" i="11"/>
  <c r="AZ21" i="11"/>
  <c r="AZ13" i="11"/>
  <c r="AZ19" i="11"/>
  <c r="AU17" i="11"/>
  <c r="Q17" i="12" s="1"/>
  <c r="AU19" i="11"/>
  <c r="H13" i="12" s="1"/>
  <c r="X12" i="12" s="1"/>
  <c r="AZ28" i="11"/>
  <c r="AW17" i="11"/>
  <c r="AY15" i="11"/>
  <c r="AW19" i="11"/>
  <c r="AU13" i="11"/>
  <c r="H8" i="12" s="1"/>
  <c r="X9" i="12" s="1"/>
  <c r="AU28" i="11"/>
  <c r="AV19" i="11"/>
  <c r="AT19" i="11"/>
  <c r="AV28" i="11"/>
  <c r="AW23" i="11"/>
  <c r="AU16" i="11"/>
  <c r="Q8" i="12" s="1"/>
  <c r="AY16" i="11"/>
  <c r="AY19" i="11"/>
  <c r="AT35" i="11"/>
  <c r="T28" i="12"/>
  <c r="Q19" i="12"/>
  <c r="AX21" i="11"/>
  <c r="AV21" i="11"/>
  <c r="AX22" i="11"/>
  <c r="AW16" i="11"/>
  <c r="AY22" i="11"/>
  <c r="AY21" i="11"/>
  <c r="AW21" i="11"/>
  <c r="AV16" i="11"/>
  <c r="AY25" i="11"/>
  <c r="AT25" i="11"/>
  <c r="AU23" i="11"/>
  <c r="Q18" i="12" s="1"/>
  <c r="AX26" i="11"/>
  <c r="AW25" i="11"/>
  <c r="AU25" i="11"/>
  <c r="AV25" i="11"/>
  <c r="AW22" i="11"/>
  <c r="AV23" i="11"/>
  <c r="AV22" i="11"/>
  <c r="AZ27" i="11"/>
  <c r="AX13" i="11"/>
  <c r="AW27" i="11"/>
  <c r="AW13" i="11"/>
  <c r="AW15" i="11"/>
  <c r="AV27" i="11"/>
  <c r="AV17" i="11"/>
  <c r="AX17" i="11"/>
  <c r="AT13" i="11"/>
  <c r="AY27" i="11"/>
  <c r="AY26" i="11"/>
  <c r="AZ26" i="11"/>
  <c r="AU27" i="11"/>
  <c r="C10" i="12" s="1"/>
  <c r="AY23" i="11"/>
  <c r="AW26" i="11"/>
  <c r="AU26" i="11"/>
  <c r="AW10" i="11"/>
  <c r="AW9" i="11"/>
  <c r="AW8" i="11"/>
  <c r="AZ7" i="11"/>
  <c r="AW7" i="11"/>
  <c r="AW11" i="11"/>
  <c r="AZ9" i="11"/>
  <c r="AZ10" i="11"/>
  <c r="AX7" i="11"/>
  <c r="AV7" i="11"/>
  <c r="AU7" i="11"/>
  <c r="AY7" i="11"/>
  <c r="AT7" i="11"/>
  <c r="AV10" i="11"/>
  <c r="AU10" i="11"/>
  <c r="Q7" i="12" s="1"/>
  <c r="AY10" i="11"/>
  <c r="AX10" i="11"/>
  <c r="AZ11" i="11"/>
  <c r="AX11" i="11"/>
  <c r="AV11" i="11"/>
  <c r="AU11" i="11"/>
  <c r="Q16" i="12" s="1"/>
  <c r="AY11" i="11"/>
  <c r="AU9" i="11"/>
  <c r="C11" i="12" s="1"/>
  <c r="AX9" i="11"/>
  <c r="AV9" i="11"/>
  <c r="AY9" i="11"/>
  <c r="AV8" i="11"/>
  <c r="AX8" i="11"/>
  <c r="AU8" i="11"/>
  <c r="C7" i="12" s="1"/>
  <c r="AY8" i="11"/>
  <c r="C14" i="12" l="1"/>
  <c r="T14" i="12" s="1"/>
  <c r="C13" i="12"/>
  <c r="T13" i="12" s="1"/>
  <c r="C8" i="12"/>
  <c r="T8" i="12" s="1"/>
  <c r="Q10" i="12"/>
  <c r="AT54" i="11"/>
  <c r="AT55" i="11" s="1"/>
  <c r="K55" i="13" s="1"/>
  <c r="N55" i="13" s="1"/>
  <c r="O55" i="13" s="1"/>
  <c r="AT48" i="11"/>
  <c r="AT49" i="11" s="1"/>
  <c r="AT50" i="11" s="1"/>
  <c r="AT51" i="11" s="1"/>
  <c r="AT42" i="11"/>
  <c r="K43" i="13" s="1"/>
  <c r="AT36" i="11"/>
  <c r="K41" i="13" s="1"/>
  <c r="Z33" i="12" a="1"/>
  <c r="Z33" i="12" s="1"/>
  <c r="AA33" i="12" s="1"/>
  <c r="X32" i="12"/>
  <c r="M31" i="12"/>
  <c r="H14" i="12"/>
  <c r="X13" i="12" s="1"/>
  <c r="T10" i="12"/>
  <c r="V32" i="12" a="1"/>
  <c r="V32" i="12" s="1"/>
  <c r="W32" i="12" s="1"/>
  <c r="T31" i="12"/>
  <c r="V31" i="12" a="1"/>
  <c r="V31" i="12" s="1"/>
  <c r="W31" i="12" s="1"/>
  <c r="V27" i="12" a="1"/>
  <c r="V27" i="12" s="1"/>
  <c r="W27" i="12" s="1"/>
  <c r="T27" i="12"/>
  <c r="V28" i="12" a="1"/>
  <c r="V28" i="12" s="1"/>
  <c r="W28" i="12" s="1"/>
  <c r="M11" i="12"/>
  <c r="AB11" i="12" s="1"/>
  <c r="AT20" i="11"/>
  <c r="AT14" i="11"/>
  <c r="AT8" i="11"/>
  <c r="AT9" i="11" s="1"/>
  <c r="AT10" i="11" s="1"/>
  <c r="AT26" i="11"/>
  <c r="AT27" i="11" s="1"/>
  <c r="T7" i="12"/>
  <c r="V12" i="12" a="1"/>
  <c r="V12" i="12" s="1"/>
  <c r="W12" i="12" s="1"/>
  <c r="T11" i="12"/>
  <c r="V11" i="12" a="1"/>
  <c r="V11" i="12" s="1"/>
  <c r="W11" i="12" s="1"/>
  <c r="H7" i="12"/>
  <c r="BC9" i="11"/>
  <c r="AT37" i="11" l="1"/>
  <c r="K37" i="13" s="1"/>
  <c r="M37" i="13" s="1"/>
  <c r="AT56" i="11"/>
  <c r="AT57" i="11" s="1"/>
  <c r="AT43" i="11"/>
  <c r="K58" i="13"/>
  <c r="L58" i="13" s="1"/>
  <c r="K56" i="13"/>
  <c r="M56" i="13" s="1"/>
  <c r="K39" i="13"/>
  <c r="M39" i="13" s="1"/>
  <c r="V7" i="12" a="1"/>
  <c r="V7" i="12" s="1"/>
  <c r="W7" i="12" s="1"/>
  <c r="V8" i="12" a="1"/>
  <c r="V8" i="12" s="1"/>
  <c r="W8" i="12" s="1"/>
  <c r="V13" i="12" a="1"/>
  <c r="V13" i="12" s="1"/>
  <c r="W13" i="12" s="1"/>
  <c r="V14" i="12" a="1"/>
  <c r="V14" i="12" s="1"/>
  <c r="W14" i="12" s="1"/>
  <c r="G9" i="14"/>
  <c r="G13" i="14"/>
  <c r="G14" i="14"/>
  <c r="G15" i="14"/>
  <c r="G17" i="14"/>
  <c r="G18" i="14"/>
  <c r="G19" i="14"/>
  <c r="G20" i="14"/>
  <c r="G21" i="14"/>
  <c r="G22" i="14"/>
  <c r="G24" i="14"/>
  <c r="G25" i="14"/>
  <c r="G26" i="14"/>
  <c r="G27" i="14"/>
  <c r="G28" i="14"/>
  <c r="G29" i="14"/>
  <c r="G30" i="14"/>
  <c r="G31" i="14"/>
  <c r="G32" i="14"/>
  <c r="G34" i="14"/>
  <c r="G35" i="14"/>
  <c r="G36" i="14"/>
  <c r="G37" i="14"/>
  <c r="G38" i="14"/>
  <c r="G39" i="14"/>
  <c r="G40" i="14"/>
  <c r="G41" i="14"/>
  <c r="G4" i="14"/>
  <c r="G5" i="14"/>
  <c r="G7" i="14"/>
  <c r="K53" i="13"/>
  <c r="N53" i="13" s="1"/>
  <c r="O53" i="13" s="1"/>
  <c r="K44" i="13"/>
  <c r="L44" i="13" s="1"/>
  <c r="K52" i="13"/>
  <c r="N52" i="13" s="1"/>
  <c r="O52" i="13" s="1"/>
  <c r="K50" i="13"/>
  <c r="M50" i="13" s="1"/>
  <c r="K46" i="13"/>
  <c r="N46" i="13" s="1"/>
  <c r="O46" i="13" s="1"/>
  <c r="K59" i="13"/>
  <c r="K57" i="13"/>
  <c r="M57" i="13" s="1"/>
  <c r="K49" i="13"/>
  <c r="M49" i="13" s="1"/>
  <c r="K51" i="13"/>
  <c r="M51" i="13" s="1"/>
  <c r="K38" i="13"/>
  <c r="L38" i="13" s="1"/>
  <c r="K40" i="13"/>
  <c r="N43" i="13"/>
  <c r="O43" i="13" s="1"/>
  <c r="L43" i="13"/>
  <c r="AB31" i="12"/>
  <c r="AD31" i="12"/>
  <c r="AE31" i="12" s="1"/>
  <c r="M43" i="13"/>
  <c r="M55" i="13"/>
  <c r="M41" i="13"/>
  <c r="Z13" i="12" a="1"/>
  <c r="Z13" i="12" s="1"/>
  <c r="AA13" i="12" s="1"/>
  <c r="K12" i="18"/>
  <c r="L12" i="18" s="1"/>
  <c r="K7" i="18"/>
  <c r="M7" i="18" s="1"/>
  <c r="V10" i="12" a="1"/>
  <c r="V10" i="12" s="1"/>
  <c r="W10" i="12" s="1"/>
  <c r="V9" i="12" a="1"/>
  <c r="V9" i="12" s="1"/>
  <c r="W9" i="12" s="1"/>
  <c r="Z12" i="12" a="1"/>
  <c r="Z12" i="12" s="1"/>
  <c r="AA12" i="12" s="1"/>
  <c r="L55" i="13"/>
  <c r="L41" i="13"/>
  <c r="L39" i="13"/>
  <c r="L37" i="13"/>
  <c r="M30" i="12"/>
  <c r="X28" i="12"/>
  <c r="Z29" i="12" a="1"/>
  <c r="Z29" i="12" s="1"/>
  <c r="AA29" i="12" s="1"/>
  <c r="AT28" i="11"/>
  <c r="AT29" i="11" s="1"/>
  <c r="K28" i="18"/>
  <c r="K11" i="18"/>
  <c r="AT15" i="11"/>
  <c r="K13" i="13" s="1"/>
  <c r="L13" i="13" s="1"/>
  <c r="AT21" i="11"/>
  <c r="K5" i="18" s="1"/>
  <c r="K9" i="18"/>
  <c r="AT11" i="11"/>
  <c r="K25" i="18" s="1"/>
  <c r="K27" i="13"/>
  <c r="Z8" i="12" a="1"/>
  <c r="Z8" i="12" s="1"/>
  <c r="AA8" i="12" s="1"/>
  <c r="Z9" i="12" a="1"/>
  <c r="Z9" i="12" s="1"/>
  <c r="AA9" i="12" s="1"/>
  <c r="M10" i="12"/>
  <c r="X8" i="12"/>
  <c r="N37" i="13" l="1"/>
  <c r="M44" i="13"/>
  <c r="N58" i="13"/>
  <c r="O58" i="13" s="1"/>
  <c r="AT38" i="11"/>
  <c r="AT39" i="11" s="1"/>
  <c r="N39" i="13"/>
  <c r="K45" i="13"/>
  <c r="AT44" i="11"/>
  <c r="AT45" i="11" s="1"/>
  <c r="U11" i="12"/>
  <c r="L56" i="13"/>
  <c r="G23" i="14"/>
  <c r="M58" i="13"/>
  <c r="P58" i="13" s="1"/>
  <c r="G2" i="14"/>
  <c r="G16" i="14"/>
  <c r="U12" i="12"/>
  <c r="K21" i="13"/>
  <c r="L50" i="13"/>
  <c r="N56" i="13"/>
  <c r="O56" i="13" s="1"/>
  <c r="G3" i="14"/>
  <c r="U29" i="12"/>
  <c r="U30" i="12"/>
  <c r="U32" i="12"/>
  <c r="U7" i="12"/>
  <c r="U31" i="12"/>
  <c r="U28" i="12"/>
  <c r="U33" i="12"/>
  <c r="U34" i="12"/>
  <c r="U27" i="12"/>
  <c r="N44" i="13"/>
  <c r="O44" i="13" s="1"/>
  <c r="N50" i="13"/>
  <c r="O50" i="13" s="1"/>
  <c r="G33" i="14"/>
  <c r="K15" i="13"/>
  <c r="M15" i="13" s="1"/>
  <c r="U8" i="12"/>
  <c r="G6" i="14"/>
  <c r="L53" i="13"/>
  <c r="M53" i="13"/>
  <c r="U13" i="12"/>
  <c r="U9" i="12"/>
  <c r="G10" i="14"/>
  <c r="U14" i="12"/>
  <c r="G11" i="14"/>
  <c r="G12" i="14"/>
  <c r="G8" i="14"/>
  <c r="H3" i="14"/>
  <c r="H4" i="14"/>
  <c r="H5" i="14"/>
  <c r="H6" i="14"/>
  <c r="H7" i="14"/>
  <c r="H2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L7" i="18"/>
  <c r="N57" i="13"/>
  <c r="O57" i="13" s="1"/>
  <c r="L51" i="13"/>
  <c r="M52" i="13"/>
  <c r="N49" i="13"/>
  <c r="N59" i="13"/>
  <c r="O59" i="13" s="1"/>
  <c r="L59" i="13"/>
  <c r="M59" i="13"/>
  <c r="L52" i="13"/>
  <c r="L49" i="13"/>
  <c r="M46" i="13"/>
  <c r="L46" i="13"/>
  <c r="L57" i="13"/>
  <c r="M38" i="13"/>
  <c r="N38" i="13"/>
  <c r="N41" i="13"/>
  <c r="M40" i="13"/>
  <c r="L40" i="13"/>
  <c r="M12" i="18"/>
  <c r="U10" i="12"/>
  <c r="P39" i="13"/>
  <c r="K10" i="18"/>
  <c r="P43" i="13"/>
  <c r="AB30" i="12"/>
  <c r="AD30" i="12" a="1"/>
  <c r="AD30" i="12" s="1"/>
  <c r="AE30" i="12" s="1"/>
  <c r="Y12" i="12"/>
  <c r="N51" i="13"/>
  <c r="O51" i="13" s="1"/>
  <c r="N47" i="13"/>
  <c r="O47" i="13" s="1"/>
  <c r="N40" i="13"/>
  <c r="N21" i="13"/>
  <c r="K34" i="18"/>
  <c r="N34" i="18" s="1"/>
  <c r="O34" i="18" s="1"/>
  <c r="M5" i="18"/>
  <c r="L5" i="18"/>
  <c r="K29" i="18"/>
  <c r="P55" i="13"/>
  <c r="Y29" i="12"/>
  <c r="Y33" i="12"/>
  <c r="Y32" i="12"/>
  <c r="N7" i="18"/>
  <c r="N27" i="13"/>
  <c r="O27" i="13" s="1"/>
  <c r="N13" i="13"/>
  <c r="K10" i="13"/>
  <c r="M10" i="13" s="1"/>
  <c r="K41" i="18"/>
  <c r="M25" i="18"/>
  <c r="N25" i="18"/>
  <c r="O25" i="18" s="1"/>
  <c r="L25" i="18"/>
  <c r="AT22" i="11"/>
  <c r="AT23" i="11" s="1"/>
  <c r="K16" i="18" s="1"/>
  <c r="N16" i="18" s="1"/>
  <c r="O16" i="18" s="1"/>
  <c r="K27" i="18"/>
  <c r="N11" i="18"/>
  <c r="O11" i="18" s="1"/>
  <c r="M11" i="18"/>
  <c r="L11" i="18"/>
  <c r="K26" i="13"/>
  <c r="L26" i="13" s="1"/>
  <c r="K42" i="18"/>
  <c r="M9" i="18"/>
  <c r="N9" i="18"/>
  <c r="L9" i="18"/>
  <c r="N28" i="18"/>
  <c r="O28" i="18" s="1"/>
  <c r="M28" i="18"/>
  <c r="L28" i="18"/>
  <c r="N12" i="18"/>
  <c r="N5" i="18"/>
  <c r="AT16" i="11"/>
  <c r="K26" i="18"/>
  <c r="K25" i="13"/>
  <c r="N25" i="13" s="1"/>
  <c r="O25" i="13" s="1"/>
  <c r="K7" i="13"/>
  <c r="N7" i="13" s="1"/>
  <c r="K9" i="13"/>
  <c r="N9" i="13" s="1"/>
  <c r="O9" i="13" s="1"/>
  <c r="K8" i="13"/>
  <c r="M13" i="13"/>
  <c r="K28" i="13"/>
  <c r="N28" i="13" s="1"/>
  <c r="K29" i="13"/>
  <c r="N29" i="13" s="1"/>
  <c r="K23" i="13"/>
  <c r="N23" i="13" s="1"/>
  <c r="M27" i="13"/>
  <c r="M21" i="13"/>
  <c r="Y9" i="12"/>
  <c r="Y13" i="12"/>
  <c r="L27" i="13"/>
  <c r="L21" i="13"/>
  <c r="K11" i="13"/>
  <c r="N11" i="13" s="1"/>
  <c r="AD10" i="12" a="1"/>
  <c r="AD10" i="12" s="1"/>
  <c r="AE10" i="12" s="1"/>
  <c r="AB10" i="12"/>
  <c r="AD11" i="12" a="1"/>
  <c r="AD11" i="12" s="1"/>
  <c r="AE11" i="12" s="1"/>
  <c r="O40" i="13" l="1"/>
  <c r="P57" i="13"/>
  <c r="O38" i="13"/>
  <c r="N45" i="13"/>
  <c r="O45" i="13" s="1"/>
  <c r="M45" i="13"/>
  <c r="L45" i="13"/>
  <c r="O39" i="13"/>
  <c r="P44" i="13"/>
  <c r="P56" i="13"/>
  <c r="P50" i="13"/>
  <c r="L15" i="13"/>
  <c r="N15" i="13"/>
  <c r="O37" i="13"/>
  <c r="P37" i="13" s="1"/>
  <c r="M7" i="13"/>
  <c r="O49" i="13"/>
  <c r="O41" i="13"/>
  <c r="P41" i="13" s="1"/>
  <c r="P53" i="13"/>
  <c r="I8" i="14"/>
  <c r="D8" i="14" s="1"/>
  <c r="I9" i="14"/>
  <c r="D9" i="14" s="1"/>
  <c r="I10" i="14"/>
  <c r="D10" i="14" s="1"/>
  <c r="I11" i="14"/>
  <c r="D11" i="14" s="1"/>
  <c r="I12" i="14"/>
  <c r="D12" i="14" s="1"/>
  <c r="I13" i="14"/>
  <c r="D13" i="14" s="1"/>
  <c r="I14" i="14"/>
  <c r="D14" i="14" s="1"/>
  <c r="I15" i="14"/>
  <c r="D15" i="14" s="1"/>
  <c r="I16" i="14"/>
  <c r="D16" i="14" s="1"/>
  <c r="I17" i="14"/>
  <c r="D17" i="14" s="1"/>
  <c r="I18" i="14"/>
  <c r="D18" i="14" s="1"/>
  <c r="I19" i="14"/>
  <c r="D19" i="14" s="1"/>
  <c r="I20" i="14"/>
  <c r="D20" i="14" s="1"/>
  <c r="I21" i="14"/>
  <c r="D21" i="14" s="1"/>
  <c r="I22" i="14"/>
  <c r="I23" i="14"/>
  <c r="D23" i="14" s="1"/>
  <c r="I24" i="14"/>
  <c r="D24" i="14" s="1"/>
  <c r="I25" i="14"/>
  <c r="D25" i="14" s="1"/>
  <c r="I26" i="14"/>
  <c r="D26" i="14" s="1"/>
  <c r="I27" i="14"/>
  <c r="D27" i="14" s="1"/>
  <c r="I28" i="14"/>
  <c r="D28" i="14" s="1"/>
  <c r="I29" i="14"/>
  <c r="D29" i="14" s="1"/>
  <c r="I30" i="14"/>
  <c r="D30" i="14" s="1"/>
  <c r="I31" i="14"/>
  <c r="D31" i="14" s="1"/>
  <c r="I32" i="14"/>
  <c r="D32" i="14" s="1"/>
  <c r="I33" i="14"/>
  <c r="D33" i="14" s="1"/>
  <c r="I34" i="14"/>
  <c r="D34" i="14" s="1"/>
  <c r="I35" i="14"/>
  <c r="D35" i="14" s="1"/>
  <c r="I36" i="14"/>
  <c r="D36" i="14" s="1"/>
  <c r="I37" i="14"/>
  <c r="D37" i="14" s="1"/>
  <c r="I38" i="14"/>
  <c r="D38" i="14" s="1"/>
  <c r="I39" i="14"/>
  <c r="D39" i="14" s="1"/>
  <c r="I40" i="14"/>
  <c r="D40" i="14" s="1"/>
  <c r="I41" i="14"/>
  <c r="D41" i="14" s="1"/>
  <c r="I3" i="14"/>
  <c r="D3" i="14" s="1"/>
  <c r="I4" i="14"/>
  <c r="D4" i="14" s="1"/>
  <c r="I5" i="14"/>
  <c r="D5" i="14" s="1"/>
  <c r="I6" i="14"/>
  <c r="D6" i="14" s="1"/>
  <c r="I7" i="14"/>
  <c r="D7" i="14" s="1"/>
  <c r="I2" i="14"/>
  <c r="P59" i="13"/>
  <c r="P52" i="13"/>
  <c r="K22" i="13"/>
  <c r="N22" i="13" s="1"/>
  <c r="O22" i="13" s="1"/>
  <c r="P49" i="13"/>
  <c r="P46" i="13"/>
  <c r="M34" i="18"/>
  <c r="P38" i="13"/>
  <c r="L34" i="18"/>
  <c r="M10" i="18"/>
  <c r="L10" i="18"/>
  <c r="N10" i="18"/>
  <c r="O10" i="18" s="1"/>
  <c r="P47" i="13"/>
  <c r="K33" i="18"/>
  <c r="N33" i="18" s="1"/>
  <c r="O33" i="18" s="1"/>
  <c r="K20" i="13"/>
  <c r="N20" i="13" s="1"/>
  <c r="O20" i="13" s="1"/>
  <c r="L16" i="18"/>
  <c r="M16" i="18"/>
  <c r="M29" i="18"/>
  <c r="N29" i="18"/>
  <c r="O29" i="18" s="1"/>
  <c r="L29" i="18"/>
  <c r="M25" i="13"/>
  <c r="L10" i="13"/>
  <c r="M26" i="13"/>
  <c r="N10" i="13"/>
  <c r="N26" i="13"/>
  <c r="O26" i="13" s="1"/>
  <c r="L7" i="13"/>
  <c r="L25" i="13"/>
  <c r="N42" i="18"/>
  <c r="O42" i="18" s="1"/>
  <c r="M42" i="18"/>
  <c r="L42" i="18"/>
  <c r="M41" i="18"/>
  <c r="N41" i="18"/>
  <c r="O41" i="18" s="1"/>
  <c r="L41" i="18"/>
  <c r="N26" i="18"/>
  <c r="O26" i="18" s="1"/>
  <c r="M26" i="18"/>
  <c r="L26" i="18"/>
  <c r="O12" i="18"/>
  <c r="P12" i="18" s="1"/>
  <c r="AT17" i="11"/>
  <c r="K15" i="18" s="1"/>
  <c r="K31" i="18"/>
  <c r="K17" i="13"/>
  <c r="P28" i="18"/>
  <c r="M27" i="18"/>
  <c r="N27" i="18"/>
  <c r="O27" i="18" s="1"/>
  <c r="L27" i="18"/>
  <c r="P25" i="18"/>
  <c r="O5" i="18"/>
  <c r="P5" i="18" s="1"/>
  <c r="P11" i="18"/>
  <c r="K32" i="18"/>
  <c r="K19" i="13"/>
  <c r="L9" i="13"/>
  <c r="M9" i="13"/>
  <c r="M8" i="13"/>
  <c r="N8" i="13"/>
  <c r="O8" i="13" s="1"/>
  <c r="L8" i="13"/>
  <c r="M28" i="13"/>
  <c r="L28" i="13"/>
  <c r="L29" i="13"/>
  <c r="M29" i="13"/>
  <c r="M23" i="13"/>
  <c r="L23" i="13"/>
  <c r="O23" i="13"/>
  <c r="O21" i="13"/>
  <c r="P21" i="13" s="1"/>
  <c r="O28" i="13"/>
  <c r="O9" i="18"/>
  <c r="P9" i="18" s="1"/>
  <c r="O29" i="13"/>
  <c r="O11" i="13"/>
  <c r="M11" i="13"/>
  <c r="P27" i="13"/>
  <c r="L11" i="13"/>
  <c r="P45" i="13" l="1"/>
  <c r="M22" i="13"/>
  <c r="L22" i="13"/>
  <c r="M33" i="18"/>
  <c r="P34" i="18"/>
  <c r="L33" i="18"/>
  <c r="P10" i="18"/>
  <c r="P16" i="18"/>
  <c r="L20" i="13"/>
  <c r="M20" i="13"/>
  <c r="P29" i="18"/>
  <c r="N15" i="18"/>
  <c r="O15" i="18" s="1"/>
  <c r="M15" i="18"/>
  <c r="L15" i="18"/>
  <c r="O10" i="13"/>
  <c r="P10" i="13" s="1"/>
  <c r="P25" i="13"/>
  <c r="P26" i="13"/>
  <c r="P41" i="18"/>
  <c r="N31" i="18"/>
  <c r="O31" i="18" s="1"/>
  <c r="M31" i="18"/>
  <c r="L31" i="18"/>
  <c r="M32" i="18"/>
  <c r="N32" i="18"/>
  <c r="O32" i="18" s="1"/>
  <c r="L32" i="18"/>
  <c r="K16" i="13"/>
  <c r="K30" i="18"/>
  <c r="K14" i="13"/>
  <c r="P26" i="18"/>
  <c r="P27" i="18"/>
  <c r="P42" i="18"/>
  <c r="N17" i="13"/>
  <c r="O17" i="13" s="1"/>
  <c r="M17" i="13"/>
  <c r="L17" i="13"/>
  <c r="L19" i="13"/>
  <c r="N19" i="13"/>
  <c r="O19" i="13" s="1"/>
  <c r="M19" i="13"/>
  <c r="O7" i="18"/>
  <c r="P7" i="18" s="1"/>
  <c r="P9" i="13"/>
  <c r="P8" i="13"/>
  <c r="O7" i="13"/>
  <c r="P7" i="13" s="1"/>
  <c r="P28" i="13"/>
  <c r="P29" i="13"/>
  <c r="P23" i="13"/>
  <c r="O13" i="13"/>
  <c r="P13" i="13" s="1"/>
  <c r="O15" i="13"/>
  <c r="P15" i="13" s="1"/>
  <c r="D22" i="14"/>
  <c r="D2" i="14"/>
  <c r="P11" i="13"/>
  <c r="BF28" i="11" a="1"/>
  <c r="BF28" i="11" s="1"/>
  <c r="BE26" i="11" a="1"/>
  <c r="BE26" i="11" s="1"/>
  <c r="BE28" i="11" a="1"/>
  <c r="BE28" i="11" s="1"/>
  <c r="BD28" i="11" a="1"/>
  <c r="BD28" i="11" s="1"/>
  <c r="BF22" i="11" a="1"/>
  <c r="BF22" i="11" s="1"/>
  <c r="BF24" i="11" s="1"/>
  <c r="BD22" i="11" a="1"/>
  <c r="BD22" i="11" s="1"/>
  <c r="BD24" i="11" s="1"/>
  <c r="BE16" i="11" a="1"/>
  <c r="BE16" i="11" s="1"/>
  <c r="BD16" i="11" a="1"/>
  <c r="BD16" i="11" s="1"/>
  <c r="BE10" i="11" a="1"/>
  <c r="BE10" i="11" s="1"/>
  <c r="BD10" i="11" a="1"/>
  <c r="BD10" i="11" s="1"/>
  <c r="BF16" i="11" a="1"/>
  <c r="BF16" i="11" s="1"/>
  <c r="BF14" i="11" a="1"/>
  <c r="BF14" i="11" s="1"/>
  <c r="BE14" i="11" a="1"/>
  <c r="BE14" i="11" s="1"/>
  <c r="BE8" i="11" a="1"/>
  <c r="BE8" i="11" s="1"/>
  <c r="BD7" i="11" a="1"/>
  <c r="BD7" i="11" s="1"/>
  <c r="BD8" i="11" a="1"/>
  <c r="BD8" i="11" s="1"/>
  <c r="BF29" i="11" a="1"/>
  <c r="BF29" i="11" s="1"/>
  <c r="BC29" i="11" s="1"/>
  <c r="BF27" i="11" a="1"/>
  <c r="BF27" i="11" s="1"/>
  <c r="BC27" i="11" s="1"/>
  <c r="BF26" i="11" a="1"/>
  <c r="BF26" i="11" s="1"/>
  <c r="BF10" i="11" a="1"/>
  <c r="BF10" i="11" s="1"/>
  <c r="BF8" i="11" a="1"/>
  <c r="BF8" i="11" s="1"/>
  <c r="P33" i="18" l="1"/>
  <c r="P22" i="13"/>
  <c r="P20" i="13"/>
  <c r="P15" i="18"/>
  <c r="Y28" i="12"/>
  <c r="D42" i="14"/>
  <c r="BF18" i="11"/>
  <c r="BC14" i="11"/>
  <c r="BC8" i="11"/>
  <c r="BC16" i="11"/>
  <c r="BD18" i="11"/>
  <c r="BC28" i="11"/>
  <c r="R19" i="12" s="1"/>
  <c r="BD30" i="11"/>
  <c r="BE30" i="11"/>
  <c r="BE12" i="11"/>
  <c r="BE18" i="11"/>
  <c r="BF12" i="11"/>
  <c r="BC10" i="11"/>
  <c r="P19" i="13"/>
  <c r="P17" i="13"/>
  <c r="BC26" i="11"/>
  <c r="BF30" i="11"/>
  <c r="BD12" i="11"/>
  <c r="BC7" i="11"/>
  <c r="Y8" i="12" s="1"/>
  <c r="M30" i="18"/>
  <c r="N30" i="18"/>
  <c r="O30" i="18" s="1"/>
  <c r="L30" i="18"/>
  <c r="N16" i="13"/>
  <c r="O16" i="13" s="1"/>
  <c r="M16" i="13"/>
  <c r="L16" i="13"/>
  <c r="P31" i="18"/>
  <c r="BC22" i="11"/>
  <c r="R9" i="12" s="1"/>
  <c r="P32" i="18"/>
  <c r="N14" i="13"/>
  <c r="O14" i="13" s="1"/>
  <c r="L14" i="13"/>
  <c r="M14" i="13"/>
  <c r="R8" i="12" l="1"/>
  <c r="BC18" i="11"/>
  <c r="AC30" i="12"/>
  <c r="AC31" i="12"/>
  <c r="R17" i="12"/>
  <c r="R10" i="12"/>
  <c r="R16" i="12"/>
  <c r="R7" i="12"/>
  <c r="BC30" i="11"/>
  <c r="P14" i="13"/>
  <c r="R18" i="12"/>
  <c r="BC24" i="11"/>
  <c r="P16" i="13"/>
  <c r="AC10" i="12"/>
  <c r="BC12" i="11"/>
  <c r="P30" i="18"/>
  <c r="AC11" i="12" l="1"/>
  <c r="P51" i="13" l="1"/>
  <c r="P40" i="1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<sst xmlns="http://schemas.openxmlformats.org/spreadsheetml/2006/main" count="440" uniqueCount="205">
  <si>
    <t>NOM</t>
  </si>
  <si>
    <t>score</t>
  </si>
  <si>
    <t>jeux</t>
  </si>
  <si>
    <t>NOM        Prénom</t>
  </si>
  <si>
    <t>AS</t>
  </si>
  <si>
    <t>Rang</t>
  </si>
  <si>
    <t>Class.1</t>
  </si>
  <si>
    <t>Résultats</t>
  </si>
  <si>
    <t>NOMS</t>
  </si>
  <si>
    <t>Pts</t>
  </si>
  <si>
    <t>GA</t>
  </si>
  <si>
    <t>Classement</t>
  </si>
  <si>
    <t>Class</t>
  </si>
  <si>
    <t>Gagnée</t>
  </si>
  <si>
    <t>Groupe</t>
  </si>
  <si>
    <t xml:space="preserve">1ère Partie </t>
  </si>
  <si>
    <t>2ème Partie</t>
  </si>
  <si>
    <t>3ème Partie</t>
  </si>
  <si>
    <t>Pts Faits</t>
  </si>
  <si>
    <t>Pts Concédés</t>
  </si>
  <si>
    <t>F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</si>
  <si>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</si>
  <si>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</si>
  <si>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</si>
  <si>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</si>
  <si>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</si>
  <si>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Nbre de parties gagnées colonne E pour la Fiche d'inscription</t>
  </si>
  <si>
    <t>Le tableau  colonne R donne les points de catégorisation M3: 2 pts par partie gagnée et M4 1 pt par partie gagnée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</si>
  <si>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</si>
  <si>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</si>
  <si>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</si>
  <si>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</si>
  <si>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</si>
  <si>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Ce tableau permet de suivre l'évolution des parties ainsi que les points de classement</t>
  </si>
  <si>
    <t>(Si possible avec un écran visible des joueurs)</t>
  </si>
  <si>
    <t>Enregistrer le tirage de 1 à 20  colonne D</t>
  </si>
  <si>
    <t>Parties groupes</t>
  </si>
  <si>
    <t>Phases Finales</t>
  </si>
  <si>
    <t>Points</t>
  </si>
  <si>
    <t>Enregistrer résultats colonnes J, S et AB</t>
  </si>
  <si>
    <t>PARTIE DE CLASSEMENT</t>
  </si>
  <si>
    <t>1/2 FINALE 1</t>
  </si>
  <si>
    <t>1A</t>
  </si>
  <si>
    <t>FINALE</t>
  </si>
  <si>
    <t>1B</t>
  </si>
  <si>
    <t>1C</t>
  </si>
  <si>
    <t>1D</t>
  </si>
  <si>
    <t>2A</t>
  </si>
  <si>
    <t>1/2 FINALE 2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</si>
  <si>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</si>
  <si>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</si>
  <si>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</si>
  <si>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</si>
  <si>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</si>
  <si>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</si>
  <si>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</si>
  <si>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</si>
  <si>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</si>
  <si>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</si>
  <si>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</si>
  <si>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</si>
  <si>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</si>
  <si>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</si>
  <si>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</si>
  <si>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</si>
  <si>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</si>
  <si>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</si>
  <si>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N°</t>
  </si>
  <si>
    <t>NOM   Prénom</t>
  </si>
  <si>
    <t>Nbre parties Gagnées</t>
  </si>
  <si>
    <t>Points de Catégorisation</t>
  </si>
  <si>
    <t>4ème de Poule</t>
  </si>
  <si>
    <t>CLASS.</t>
  </si>
  <si>
    <t>1/2 F</t>
  </si>
  <si>
    <t>T OTAL</t>
  </si>
  <si>
    <t>Part. Class.</t>
  </si>
  <si>
    <t>Points de Catégorisation sortie Groupe</t>
  </si>
  <si>
    <t>1ère P</t>
  </si>
  <si>
    <t>2ème P</t>
  </si>
  <si>
    <t>3ème P</t>
  </si>
  <si>
    <t>Epreuve d'appui</t>
  </si>
  <si>
    <t>5ème de Poule</t>
  </si>
  <si>
    <t>OFFICE</t>
  </si>
  <si>
    <t>Pts Class.</t>
  </si>
  <si>
    <t xml:space="preserve">Parties </t>
  </si>
  <si>
    <t>Parties Class.</t>
  </si>
  <si>
    <t>Epr. d'appui ou oppos.</t>
  </si>
  <si>
    <t>IMPORTANT</t>
  </si>
  <si>
    <t>Quelques points de règlement</t>
  </si>
  <si>
    <t>Les parties se déroulent en 13 points ou 1h45</t>
  </si>
  <si>
    <t>Le NUL n’est pas admis, il faut forcément une équipe vainqueur.</t>
  </si>
  <si>
    <t>A l’intérieur du groupe de 4, chaque équipe rencontre les 3 autres équipes de son groupe</t>
  </si>
  <si>
    <t>(Groupe de 5 chaque équipe fait 3 rencontres)</t>
  </si>
  <si>
    <r>
      <t>Classement dans les groupes</t>
    </r>
    <r>
      <rPr>
        <sz val="14"/>
        <rFont val="Times New Roman"/>
        <family val="1"/>
      </rPr>
      <t> :</t>
    </r>
  </si>
  <si>
    <r>
      <t>1.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Nombre de parties gagnées dans le groupe</t>
    </r>
  </si>
  <si>
    <r>
      <t>2.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d’égalité du nombre de parties gagnées entre 2 équipes, celles-ci sont départagées par l’opposition directe</t>
    </r>
  </si>
  <si>
    <r>
      <t>3.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(Si il n'y a pas eu d'opposition directe)</t>
    </r>
  </si>
  <si>
    <r>
      <t>4.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d’égalité du nombre de parties gagnées entre 3 équipes, celles-ci sont départagées par le goal avérage général (Automatique)</t>
    </r>
  </si>
  <si>
    <r>
      <t>5.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Si l’égalité persiste entre 2 équipes, celles-ci sont départagées par l’opposition directe</t>
    </r>
  </si>
  <si>
    <r>
      <t>6.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d'égalité parfaite il y aura une épreuve d'appui sur le principe de celle jouée en club sportif.</t>
    </r>
  </si>
  <si>
    <t>(Article 10.7 - Annexe 5 du règlement sportif)</t>
  </si>
  <si>
    <t>(Chaque équipe désigne 1 pointeur et 1 tireur )</t>
  </si>
  <si>
    <t xml:space="preserve">10.7 - Epreuve d’appui </t>
  </si>
  <si>
    <t xml:space="preserve">En cas d’égalité parfaite à l’issue d’un match qualificatif (match simple ou match retour), il est fait appel à l’épreuve d’appui. </t>
  </si>
  <si>
    <t xml:space="preserve">L’épreuve d’appui est considérée comme une épreuve à part entière du match </t>
  </si>
  <si>
    <t xml:space="preserve">Modalités de déroulement de l’épreuve d’appui : </t>
  </si>
  <si>
    <r>
      <t>*</t>
    </r>
    <r>
      <rPr>
        <sz val="14"/>
        <color rgb="FF000000"/>
        <rFont val="Times New Roman"/>
        <family val="1"/>
      </rPr>
      <t>La cible au centre du rectangle de validité de lancer de but (Cercle de 70cm)</t>
    </r>
  </si>
  <si>
    <t xml:space="preserve">*  Chaque équipe désigne 1 joueur : </t>
  </si>
  <si>
    <t>* 1 pointeur dans une cible  1 point par boule réussi (Biberon non pris en compte)</t>
  </si>
  <si>
    <t xml:space="preserve">* 1 tireur  tir au but, 1 point par tir réussi (Carreau non pris en compte). </t>
  </si>
  <si>
    <t>*I'ordre de passage est alterné pointeurs puis tireur</t>
  </si>
  <si>
    <t>EPREUVE D'APPUI</t>
  </si>
  <si>
    <t>Modalité et extrait du règlement</t>
  </si>
  <si>
    <t>Si pas d'opposition directe le GA général détermine la position</t>
  </si>
  <si>
    <t>En cas d'égalité parfaite après ces critères il faut faire une épreuve d'appui (Voir onglet correspondant)</t>
  </si>
  <si>
    <t>En cas d'égalité  entre 3 équipes c'est le GA général qui détermine la position</t>
  </si>
  <si>
    <t>Cornas</t>
  </si>
  <si>
    <t>PLANTIER Pierre</t>
  </si>
  <si>
    <t>BOURCIER Didier</t>
  </si>
  <si>
    <t>Alboussière</t>
  </si>
  <si>
    <t>COMBET Philippe</t>
  </si>
  <si>
    <t>BIMET Michel</t>
  </si>
  <si>
    <t>SOUBEYRAND Thierry</t>
  </si>
  <si>
    <t>BARD Philippe</t>
  </si>
  <si>
    <t>SAINT ANDRE Stéphane</t>
  </si>
  <si>
    <t>BOUVERON Yves</t>
  </si>
  <si>
    <t>BROUSSARD David</t>
  </si>
  <si>
    <t>ISIDORE Serge</t>
  </si>
  <si>
    <t>LAFORET Guy</t>
  </si>
  <si>
    <t>POULAIN Paul</t>
  </si>
  <si>
    <t>Quintenas</t>
  </si>
  <si>
    <t>PERRET Didier</t>
  </si>
  <si>
    <t>Flaviac</t>
  </si>
  <si>
    <t>GINESTE Thierry</t>
  </si>
  <si>
    <t>Valvignères</t>
  </si>
  <si>
    <t>SASSOLAS Denis</t>
  </si>
  <si>
    <t>TEIL Gilbert</t>
  </si>
  <si>
    <t>Satillieu</t>
  </si>
  <si>
    <t>COMTE Denis</t>
  </si>
  <si>
    <t>1/2 Finales</t>
  </si>
  <si>
    <t>Après la 3ème partie  si deux égalités enregistrer 1 à l'équipe qui à gagné l'opposition directe</t>
  </si>
  <si>
    <t>Epreuve d'appui ou résultat particulier colonne  AD</t>
  </si>
  <si>
    <t>Si pour une raison quelconque  dans le classement final une formule affiche une anomalie lorsque toutes les parties sont términées</t>
  </si>
  <si>
    <t xml:space="preserve">il faut corriger manuellement en enlevant la protection: </t>
  </si>
  <si>
    <t>*</t>
  </si>
  <si>
    <t xml:space="preserve">Cliquer sur révision  en haut ensuite sur Oter la protection  puis effectuer la correction en comptant les points </t>
  </si>
  <si>
    <t xml:space="preserve">Attribution des points suivant le règlement </t>
  </si>
  <si>
    <t>Nom</t>
  </si>
  <si>
    <t>COMBETTE DAVID</t>
  </si>
  <si>
    <t xml:space="preserve">VERSINO Fabien </t>
  </si>
  <si>
    <t>CHIROL Antoine</t>
  </si>
  <si>
    <t>TESTUD Maurice</t>
  </si>
  <si>
    <t>GAILLARD Jean Louis</t>
  </si>
  <si>
    <t>CHARBONNIER Daniel</t>
  </si>
  <si>
    <t>VASCHALDE GUY</t>
  </si>
  <si>
    <t>CESA CLAUDE</t>
  </si>
  <si>
    <t>DESMARTIN Sébastien</t>
  </si>
  <si>
    <t>CHANEAC Alain</t>
  </si>
  <si>
    <t>TRIN Serge</t>
  </si>
  <si>
    <t>JULIAT Eric</t>
  </si>
  <si>
    <t>MANDON Thierry</t>
  </si>
  <si>
    <t>DEBEAUX fabrice</t>
  </si>
  <si>
    <t>YANEZ José</t>
  </si>
  <si>
    <t>CHAMBONNET Jean-Pierre</t>
  </si>
  <si>
    <t>BERNARD Jérémy</t>
  </si>
  <si>
    <t>FAURITE Michel</t>
  </si>
  <si>
    <t>SIEGEL Mathias</t>
  </si>
  <si>
    <t>ARNAUD Gérard</t>
  </si>
  <si>
    <t>St Victor</t>
  </si>
  <si>
    <t>D.2 octobre 2022</t>
  </si>
  <si>
    <t>Vernosc les annonay</t>
  </si>
  <si>
    <t>REYNAUD DENIS</t>
  </si>
  <si>
    <t>St Sauveur de montagut</t>
  </si>
  <si>
    <t>BESSON Alain</t>
  </si>
  <si>
    <t>Vanosc</t>
  </si>
  <si>
    <t>Ardoix</t>
  </si>
  <si>
    <t>Saint-Cyr</t>
  </si>
  <si>
    <t>charmes sur rhône</t>
  </si>
  <si>
    <t>asbgg</t>
  </si>
  <si>
    <t>CHIROL antoine</t>
  </si>
  <si>
    <t>Préaux</t>
  </si>
  <si>
    <t>Aubenas</t>
  </si>
  <si>
    <t xml:space="preserve">DELHOUME Christian </t>
  </si>
  <si>
    <t>Boulieu les annonay</t>
  </si>
  <si>
    <t>Colombier le Vieux</t>
  </si>
  <si>
    <t>Alba</t>
  </si>
  <si>
    <t>Tournon</t>
  </si>
  <si>
    <t>Alissas</t>
  </si>
  <si>
    <t>Joyeuse</t>
  </si>
  <si>
    <t>St Julien du Gua</t>
  </si>
  <si>
    <t>St Alban d'Ay</t>
  </si>
  <si>
    <t>St agrève</t>
  </si>
  <si>
    <t>Ruoms</t>
  </si>
  <si>
    <t>St Cirgues en montagne</t>
  </si>
  <si>
    <t>Lagégude</t>
  </si>
  <si>
    <t>1 à 24</t>
  </si>
  <si>
    <t>Désaignes</t>
  </si>
  <si>
    <t>TIRAGE OFFICE</t>
  </si>
  <si>
    <t>M4 - 5ème Journée</t>
  </si>
  <si>
    <t>CONCOURS QUALIFICATIFS ARDECHE  -  2022.2023</t>
  </si>
  <si>
    <t>SATILLIEU</t>
  </si>
  <si>
    <t>25 à 40</t>
  </si>
  <si>
    <t>P. Class.</t>
  </si>
  <si>
    <t>Epreuve d'appui ou opposition directe = 1</t>
  </si>
  <si>
    <t>S. 18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</si>
</sst>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[$-F800]dddd\,\ mmmm\ dd\,\ yyyy"/>
  </numFmts>
  <fonts count="55">
    <font>
      <sz val="10"/>
      <name val="Arial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6" tint="0.39997558519241921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i/>
      <sz val="12"/>
      <color theme="3" tint="-0.249977111117893"/>
      <name val="Arial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20"/>
      <color theme="0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4"/>
      <color theme="6" tint="0.39997558519241921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20"/>
      <color theme="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indexed="8"/>
      <name val="Arial"/>
      <family val="2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name val="Times New Roman"/>
      <family val="1"/>
    </font>
    <font>
      <sz val="14"/>
      <name val="Calibri"/>
      <family val="2"/>
    </font>
    <font>
      <sz val="7"/>
      <name val="Times New Roman"/>
      <family val="1"/>
    </font>
    <font>
      <sz val="14"/>
      <color rgb="FFFF0000"/>
      <name val="Calibri"/>
      <family val="2"/>
    </font>
    <font>
      <sz val="7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indexed="8"/>
      <name val="Times New Roman"/>
      <family val="1"/>
    </font>
    <font>
      <sz val="20"/>
      <name val="Arial"/>
      <family val="2"/>
    </font>
    <font>
      <sz val="12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58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7" borderId="4" xfId="0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horizontal="center" vertical="center"/>
    </xf>
    <xf numFmtId="164" fontId="12" fillId="0" borderId="14" xfId="0" quotePrefix="1" applyNumberFormat="1" applyFont="1" applyBorder="1" applyAlignment="1" applyProtection="1">
      <alignment horizontal="center" vertical="center"/>
    </xf>
    <xf numFmtId="0" fontId="12" fillId="0" borderId="14" xfId="0" quotePrefix="1" applyFont="1" applyBorder="1" applyAlignment="1" applyProtection="1">
      <alignment horizontal="center" vertical="center"/>
    </xf>
    <xf numFmtId="0" fontId="0" fillId="0" borderId="33" xfId="0" applyBorder="1"/>
    <xf numFmtId="0" fontId="0" fillId="0" borderId="26" xfId="0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0" fillId="0" borderId="31" xfId="0" applyBorder="1"/>
    <xf numFmtId="0" fontId="0" fillId="0" borderId="37" xfId="0" applyBorder="1"/>
    <xf numFmtId="0" fontId="0" fillId="0" borderId="25" xfId="0" applyBorder="1"/>
    <xf numFmtId="0" fontId="0" fillId="0" borderId="0" xfId="0" applyBorder="1"/>
    <xf numFmtId="0" fontId="0" fillId="0" borderId="38" xfId="0" applyBorder="1"/>
    <xf numFmtId="0" fontId="0" fillId="0" borderId="22" xfId="0" applyBorder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Protection="1">
      <protection locked="0"/>
    </xf>
    <xf numFmtId="0" fontId="12" fillId="0" borderId="48" xfId="0" quotePrefix="1" applyFont="1" applyBorder="1" applyAlignment="1" applyProtection="1">
      <alignment horizontal="center" vertical="center"/>
    </xf>
    <xf numFmtId="0" fontId="6" fillId="0" borderId="26" xfId="0" applyFont="1" applyBorder="1" applyProtection="1">
      <protection locked="0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vertical="center" wrapText="1"/>
    </xf>
    <xf numFmtId="0" fontId="21" fillId="0" borderId="0" xfId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8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49" fontId="30" fillId="0" borderId="58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0" fillId="0" borderId="14" xfId="0" quotePrefix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6" fillId="13" borderId="4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 vertical="center"/>
    </xf>
    <xf numFmtId="0" fontId="32" fillId="0" borderId="4" xfId="1" applyFont="1" applyBorder="1" applyAlignment="1" applyProtection="1">
      <alignment horizontal="center" vertical="center" wrapText="1"/>
      <protection locked="0"/>
    </xf>
    <xf numFmtId="0" fontId="32" fillId="0" borderId="0" xfId="1" applyFont="1" applyBorder="1" applyAlignment="1">
      <alignment horizontal="center" vertical="center" wrapText="1"/>
    </xf>
    <xf numFmtId="0" fontId="35" fillId="0" borderId="14" xfId="0" quotePrefix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25" fillId="0" borderId="4" xfId="0" quotePrefix="1" applyFont="1" applyBorder="1" applyAlignment="1">
      <alignment horizontal="center" vertical="center" wrapText="1"/>
    </xf>
    <xf numFmtId="0" fontId="35" fillId="0" borderId="49" xfId="0" quotePrefix="1" applyFont="1" applyBorder="1" applyAlignment="1">
      <alignment horizontal="center" vertical="center"/>
    </xf>
    <xf numFmtId="0" fontId="35" fillId="12" borderId="51" xfId="0" quotePrefix="1" applyFont="1" applyFill="1" applyBorder="1" applyAlignment="1">
      <alignment horizontal="center" vertical="center"/>
    </xf>
    <xf numFmtId="0" fontId="35" fillId="12" borderId="4" xfId="0" quotePrefix="1" applyFont="1" applyFill="1" applyBorder="1" applyAlignment="1">
      <alignment horizontal="center" vertical="center"/>
    </xf>
    <xf numFmtId="0" fontId="35" fillId="12" borderId="49" xfId="0" quotePrefix="1" applyFont="1" applyFill="1" applyBorder="1" applyAlignment="1">
      <alignment horizontal="center" vertical="center"/>
    </xf>
    <xf numFmtId="0" fontId="35" fillId="12" borderId="16" xfId="0" quotePrefix="1" applyFont="1" applyFill="1" applyBorder="1" applyAlignment="1">
      <alignment horizontal="center" vertical="center"/>
    </xf>
    <xf numFmtId="0" fontId="35" fillId="12" borderId="44" xfId="0" quotePrefix="1" applyFont="1" applyFill="1" applyBorder="1" applyAlignment="1">
      <alignment horizontal="center" vertical="center"/>
    </xf>
    <xf numFmtId="0" fontId="36" fillId="13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32" fillId="0" borderId="3" xfId="1" applyFont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25" fillId="0" borderId="19" xfId="0" quotePrefix="1" applyFont="1" applyBorder="1" applyAlignment="1">
      <alignment horizontal="center" vertical="center" wrapText="1"/>
    </xf>
    <xf numFmtId="0" fontId="35" fillId="0" borderId="32" xfId="0" quotePrefix="1" applyFont="1" applyBorder="1" applyAlignment="1">
      <alignment horizontal="center" vertical="center"/>
    </xf>
    <xf numFmtId="0" fontId="35" fillId="0" borderId="62" xfId="0" quotePrefix="1" applyFont="1" applyBorder="1" applyAlignment="1">
      <alignment horizontal="center" vertical="center"/>
    </xf>
    <xf numFmtId="0" fontId="25" fillId="0" borderId="19" xfId="0" quotePrefix="1" applyFont="1" applyBorder="1" applyAlignment="1">
      <alignment horizontal="center" vertical="center"/>
    </xf>
    <xf numFmtId="0" fontId="35" fillId="12" borderId="18" xfId="0" quotePrefix="1" applyFont="1" applyFill="1" applyBorder="1" applyAlignment="1">
      <alignment horizontal="center" vertical="center"/>
    </xf>
    <xf numFmtId="0" fontId="35" fillId="12" borderId="19" xfId="0" quotePrefix="1" applyFont="1" applyFill="1" applyBorder="1" applyAlignment="1">
      <alignment horizontal="center" vertical="center"/>
    </xf>
    <xf numFmtId="0" fontId="35" fillId="12" borderId="45" xfId="0" quotePrefix="1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  <xf numFmtId="0" fontId="18" fillId="0" borderId="31" xfId="1" applyFont="1" applyFill="1" applyBorder="1" applyAlignment="1">
      <alignment horizontal="center" vertical="center" wrapText="1"/>
    </xf>
    <xf numFmtId="0" fontId="32" fillId="0" borderId="31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6" fillId="13" borderId="41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25" fillId="0" borderId="3" xfId="0" quotePrefix="1" applyFont="1" applyBorder="1" applyAlignment="1">
      <alignment horizontal="center" vertical="center" wrapText="1"/>
    </xf>
    <xf numFmtId="0" fontId="35" fillId="0" borderId="64" xfId="0" quotePrefix="1" applyFont="1" applyBorder="1" applyAlignment="1">
      <alignment horizontal="center" vertical="center"/>
    </xf>
    <xf numFmtId="0" fontId="35" fillId="12" borderId="65" xfId="0" quotePrefix="1" applyFont="1" applyFill="1" applyBorder="1" applyAlignment="1">
      <alignment horizontal="center" vertical="center"/>
    </xf>
    <xf numFmtId="0" fontId="25" fillId="12" borderId="23" xfId="0" quotePrefix="1" applyFont="1" applyFill="1" applyBorder="1" applyAlignment="1">
      <alignment horizontal="center" vertical="center"/>
    </xf>
    <xf numFmtId="0" fontId="35" fillId="12" borderId="64" xfId="0" quotePrefix="1" applyFont="1" applyFill="1" applyBorder="1" applyAlignment="1">
      <alignment horizontal="center" vertical="center"/>
    </xf>
    <xf numFmtId="0" fontId="35" fillId="0" borderId="66" xfId="0" quotePrefix="1" applyFont="1" applyBorder="1" applyAlignment="1">
      <alignment horizontal="center" vertical="center"/>
    </xf>
    <xf numFmtId="0" fontId="25" fillId="0" borderId="3" xfId="0" quotePrefix="1" applyFont="1" applyBorder="1" applyAlignment="1">
      <alignment horizontal="center" vertical="center"/>
    </xf>
    <xf numFmtId="0" fontId="35" fillId="0" borderId="67" xfId="0" quotePrefix="1" applyFont="1" applyBorder="1" applyAlignment="1">
      <alignment horizontal="center" vertical="center"/>
    </xf>
    <xf numFmtId="0" fontId="36" fillId="13" borderId="43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25" fillId="0" borderId="34" xfId="0" quotePrefix="1" applyFont="1" applyBorder="1" applyAlignment="1">
      <alignment horizontal="center" vertical="center" wrapText="1"/>
    </xf>
    <xf numFmtId="0" fontId="25" fillId="12" borderId="4" xfId="0" quotePrefix="1" applyFont="1" applyFill="1" applyBorder="1" applyAlignment="1">
      <alignment horizontal="center" vertical="center"/>
    </xf>
    <xf numFmtId="0" fontId="35" fillId="0" borderId="16" xfId="0" quotePrefix="1" applyFont="1" applyBorder="1" applyAlignment="1">
      <alignment horizontal="center" vertical="center"/>
    </xf>
    <xf numFmtId="0" fontId="35" fillId="0" borderId="44" xfId="0" quotePrefix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32" fillId="0" borderId="26" xfId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32" fillId="0" borderId="0" xfId="0" applyFont="1"/>
    <xf numFmtId="0" fontId="35" fillId="0" borderId="21" xfId="0" applyFont="1" applyBorder="1" applyAlignment="1">
      <alignment horizontal="center" vertical="center" wrapText="1"/>
    </xf>
    <xf numFmtId="0" fontId="35" fillId="0" borderId="50" xfId="0" quotePrefix="1" applyFont="1" applyBorder="1" applyAlignment="1">
      <alignment horizontal="center" vertical="center"/>
    </xf>
    <xf numFmtId="0" fontId="35" fillId="12" borderId="54" xfId="0" quotePrefix="1" applyFont="1" applyFill="1" applyBorder="1" applyAlignment="1">
      <alignment horizontal="center" vertical="center"/>
    </xf>
    <xf numFmtId="0" fontId="35" fillId="12" borderId="3" xfId="0" quotePrefix="1" applyFont="1" applyFill="1" applyBorder="1" applyAlignment="1">
      <alignment horizontal="center" vertical="center"/>
    </xf>
    <xf numFmtId="0" fontId="35" fillId="12" borderId="50" xfId="0" quotePrefix="1" applyFont="1" applyFill="1" applyBorder="1" applyAlignment="1">
      <alignment horizontal="center" vertical="center"/>
    </xf>
    <xf numFmtId="0" fontId="35" fillId="12" borderId="20" xfId="0" quotePrefix="1" applyFont="1" applyFill="1" applyBorder="1" applyAlignment="1">
      <alignment horizontal="center" vertical="center"/>
    </xf>
    <xf numFmtId="0" fontId="35" fillId="12" borderId="46" xfId="0" quotePrefix="1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2" fillId="8" borderId="2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0" fillId="0" borderId="19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0" fillId="0" borderId="27" xfId="0" quotePrefix="1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39" xfId="0" quotePrefix="1" applyFont="1" applyBorder="1" applyAlignment="1">
      <alignment horizontal="center" vertical="center"/>
    </xf>
    <xf numFmtId="0" fontId="35" fillId="0" borderId="14" xfId="0" quotePrefix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11" fillId="0" borderId="14" xfId="0" quotePrefix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33" xfId="0" applyFont="1" applyBorder="1" applyProtection="1"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10" borderId="0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26" xfId="0" applyFont="1" applyBorder="1" applyProtection="1"/>
    <xf numFmtId="0" fontId="12" fillId="0" borderId="2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4" xfId="0" applyFont="1" applyBorder="1" applyAlignment="1" applyProtection="1">
      <alignment horizontal="center" vertical="center" wrapText="1"/>
    </xf>
    <xf numFmtId="0" fontId="11" fillId="0" borderId="49" xfId="0" quotePrefix="1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/>
    </xf>
    <xf numFmtId="0" fontId="11" fillId="0" borderId="28" xfId="0" quotePrefix="1" applyFont="1" applyBorder="1" applyAlignment="1" applyProtection="1">
      <alignment horizontal="center" vertical="center"/>
    </xf>
    <xf numFmtId="0" fontId="2" fillId="11" borderId="14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11" fillId="0" borderId="32" xfId="0" quotePrefix="1" applyFont="1" applyBorder="1" applyAlignment="1" applyProtection="1">
      <alignment horizontal="center" vertical="center"/>
    </xf>
    <xf numFmtId="0" fontId="11" fillId="0" borderId="29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12" borderId="14" xfId="0" applyFont="1" applyFill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11" fillId="0" borderId="68" xfId="0" quotePrefix="1" applyFont="1" applyBorder="1" applyAlignment="1" applyProtection="1">
      <alignment horizontal="center" vertical="center"/>
    </xf>
    <xf numFmtId="0" fontId="11" fillId="0" borderId="69" xfId="0" quotePrefix="1" applyFont="1" applyBorder="1" applyAlignment="1" applyProtection="1">
      <alignment horizontal="center" vertical="center"/>
    </xf>
    <xf numFmtId="0" fontId="2" fillId="12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11" fillId="0" borderId="50" xfId="0" quotePrefix="1" applyFont="1" applyBorder="1" applyAlignment="1" applyProtection="1">
      <alignment horizontal="center" vertical="center"/>
    </xf>
    <xf numFmtId="0" fontId="11" fillId="0" borderId="2" xfId="0" quotePrefix="1" applyFont="1" applyBorder="1" applyAlignment="1" applyProtection="1">
      <alignment horizontal="center" vertical="center"/>
    </xf>
    <xf numFmtId="0" fontId="11" fillId="0" borderId="1" xfId="0" quotePrefix="1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11" borderId="32" xfId="0" applyFont="1" applyFill="1" applyBorder="1" applyAlignment="1" applyProtection="1">
      <alignment horizontal="center" vertical="center"/>
    </xf>
    <xf numFmtId="0" fontId="2" fillId="12" borderId="32" xfId="0" applyFont="1" applyFill="1" applyBorder="1" applyAlignment="1" applyProtection="1">
      <alignment horizontal="center" vertical="center"/>
    </xf>
    <xf numFmtId="0" fontId="2" fillId="12" borderId="5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indent="3"/>
    </xf>
    <xf numFmtId="0" fontId="48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4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3" borderId="30" xfId="0" applyFont="1" applyFill="1" applyBorder="1" applyAlignment="1">
      <alignment horizontal="center" vertical="center"/>
    </xf>
    <xf numFmtId="0" fontId="15" fillId="0" borderId="31" xfId="0" applyFont="1" applyBorder="1"/>
    <xf numFmtId="0" fontId="16" fillId="0" borderId="31" xfId="0" applyFont="1" applyBorder="1"/>
    <xf numFmtId="0" fontId="6" fillId="0" borderId="31" xfId="0" applyFont="1" applyBorder="1"/>
    <xf numFmtId="0" fontId="6" fillId="0" borderId="37" xfId="0" applyFont="1" applyBorder="1"/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/>
    <xf numFmtId="0" fontId="16" fillId="0" borderId="0" xfId="0" applyFont="1" applyBorder="1"/>
    <xf numFmtId="0" fontId="6" fillId="0" borderId="0" xfId="0" applyFont="1" applyBorder="1"/>
    <xf numFmtId="0" fontId="6" fillId="0" borderId="38" xfId="0" applyFont="1" applyBorder="1"/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/>
    <xf numFmtId="0" fontId="16" fillId="0" borderId="26" xfId="0" applyFont="1" applyBorder="1"/>
    <xf numFmtId="0" fontId="6" fillId="0" borderId="26" xfId="0" applyFont="1" applyBorder="1"/>
    <xf numFmtId="0" fontId="6" fillId="0" borderId="33" xfId="0" applyFont="1" applyBorder="1"/>
    <xf numFmtId="0" fontId="43" fillId="0" borderId="15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/>
    </xf>
    <xf numFmtId="0" fontId="2" fillId="11" borderId="13" xfId="0" applyFont="1" applyFill="1" applyBorder="1" applyAlignment="1" applyProtection="1">
      <alignment horizontal="left" vertical="center"/>
    </xf>
    <xf numFmtId="0" fontId="2" fillId="12" borderId="13" xfId="0" applyFont="1" applyFill="1" applyBorder="1" applyAlignment="1" applyProtection="1">
      <alignment horizontal="left" vertical="center"/>
    </xf>
    <xf numFmtId="0" fontId="2" fillId="12" borderId="7" xfId="0" applyFont="1" applyFill="1" applyBorder="1" applyAlignment="1" applyProtection="1">
      <alignment horizontal="left" vertical="center"/>
    </xf>
    <xf numFmtId="0" fontId="2" fillId="3" borderId="49" xfId="0" applyFont="1" applyFill="1" applyBorder="1" applyAlignment="1" applyProtection="1">
      <alignment horizontal="left" vertical="center"/>
    </xf>
    <xf numFmtId="0" fontId="2" fillId="11" borderId="32" xfId="0" applyFont="1" applyFill="1" applyBorder="1" applyAlignment="1" applyProtection="1">
      <alignment horizontal="left" vertical="center"/>
    </xf>
    <xf numFmtId="0" fontId="2" fillId="12" borderId="32" xfId="0" applyFont="1" applyFill="1" applyBorder="1" applyAlignment="1" applyProtection="1">
      <alignment horizontal="left" vertical="center"/>
    </xf>
    <xf numFmtId="0" fontId="2" fillId="12" borderId="50" xfId="0" applyFont="1" applyFill="1" applyBorder="1" applyAlignment="1" applyProtection="1">
      <alignment horizontal="left" vertical="center"/>
    </xf>
    <xf numFmtId="0" fontId="2" fillId="3" borderId="48" xfId="0" applyFont="1" applyFill="1" applyBorder="1" applyAlignment="1" applyProtection="1">
      <alignment horizontal="left" vertical="center"/>
    </xf>
    <xf numFmtId="0" fontId="2" fillId="11" borderId="14" xfId="0" applyFont="1" applyFill="1" applyBorder="1" applyAlignment="1" applyProtection="1">
      <alignment horizontal="left" vertical="center"/>
    </xf>
    <xf numFmtId="0" fontId="2" fillId="12" borderId="14" xfId="0" applyFont="1" applyFill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 wrapText="1"/>
    </xf>
    <xf numFmtId="0" fontId="1" fillId="9" borderId="4" xfId="0" applyFont="1" applyFill="1" applyBorder="1" applyAlignment="1" applyProtection="1">
      <alignment horizontal="left" vertical="center" wrapText="1"/>
    </xf>
    <xf numFmtId="0" fontId="1" fillId="9" borderId="8" xfId="0" applyFont="1" applyFill="1" applyBorder="1" applyAlignment="1" applyProtection="1">
      <alignment horizontal="left" vertical="center" wrapText="1"/>
    </xf>
    <xf numFmtId="0" fontId="2" fillId="8" borderId="2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0" borderId="20" xfId="0" quotePrefix="1" applyFont="1" applyBorder="1" applyAlignment="1" applyProtection="1">
      <alignment horizontal="left" vertical="center" wrapText="1"/>
    </xf>
    <xf numFmtId="0" fontId="2" fillId="0" borderId="17" xfId="0" quotePrefix="1" applyFont="1" applyBorder="1" applyAlignment="1" applyProtection="1">
      <alignment horizontal="left" vertical="center" wrapText="1"/>
    </xf>
    <xf numFmtId="0" fontId="2" fillId="0" borderId="24" xfId="0" quotePrefix="1" applyFont="1" applyBorder="1" applyAlignment="1" applyProtection="1">
      <alignment horizontal="left" vertical="center" wrapText="1"/>
    </xf>
    <xf numFmtId="0" fontId="2" fillId="8" borderId="17" xfId="0" quotePrefix="1" applyFont="1" applyFill="1" applyBorder="1" applyAlignment="1" applyProtection="1">
      <alignment horizontal="left" vertical="center" wrapText="1"/>
    </xf>
    <xf numFmtId="0" fontId="2" fillId="4" borderId="35" xfId="0" applyFont="1" applyFill="1" applyBorder="1" applyAlignment="1" applyProtection="1">
      <alignment horizontal="left" vertical="center" wrapText="1"/>
    </xf>
    <xf numFmtId="0" fontId="2" fillId="0" borderId="17" xfId="0" quotePrefix="1" applyFont="1" applyFill="1" applyBorder="1" applyAlignment="1" applyProtection="1">
      <alignment horizontal="left" vertical="center" wrapText="1"/>
    </xf>
    <xf numFmtId="0" fontId="2" fillId="4" borderId="21" xfId="0" quotePrefix="1" applyFont="1" applyFill="1" applyBorder="1" applyAlignment="1" applyProtection="1">
      <alignment horizontal="left" vertical="center" wrapText="1"/>
    </xf>
    <xf numFmtId="0" fontId="2" fillId="0" borderId="22" xfId="0" quotePrefix="1" applyFont="1" applyFill="1" applyBorder="1" applyAlignment="1" applyProtection="1">
      <alignment horizontal="left" vertical="center" wrapText="1"/>
    </xf>
    <xf numFmtId="0" fontId="2" fillId="8" borderId="4" xfId="0" applyFont="1" applyFill="1" applyBorder="1" applyAlignment="1" applyProtection="1">
      <alignment horizontal="left" vertical="center" wrapText="1"/>
    </xf>
    <xf numFmtId="0" fontId="2" fillId="8" borderId="8" xfId="0" applyFont="1" applyFill="1" applyBorder="1" applyAlignment="1" applyProtection="1">
      <alignment horizontal="left" vertical="center" wrapText="1"/>
    </xf>
    <xf numFmtId="0" fontId="2" fillId="0" borderId="36" xfId="0" quotePrefix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/>
    </xf>
    <xf numFmtId="0" fontId="5" fillId="0" borderId="0" xfId="0" applyFont="1" applyAlignment="1">
      <alignment horizontal="right"/>
    </xf>
    <xf numFmtId="0" fontId="22" fillId="0" borderId="17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 wrapText="1"/>
    </xf>
    <xf numFmtId="0" fontId="20" fillId="0" borderId="61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32" xfId="0" quotePrefix="1" applyFont="1" applyBorder="1" applyAlignment="1">
      <alignment horizontal="center" vertical="center" wrapText="1"/>
    </xf>
    <xf numFmtId="0" fontId="20" fillId="0" borderId="50" xfId="0" quotePrefix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17" borderId="29" xfId="0" applyFont="1" applyFill="1" applyBorder="1" applyAlignment="1" applyProtection="1">
      <alignment horizontal="center" vertical="center"/>
      <protection locked="0"/>
    </xf>
    <xf numFmtId="0" fontId="9" fillId="17" borderId="28" xfId="0" applyFont="1" applyFill="1" applyBorder="1" applyAlignment="1" applyProtection="1">
      <alignment horizontal="center" vertical="center"/>
      <protection locked="0"/>
    </xf>
    <xf numFmtId="0" fontId="11" fillId="15" borderId="29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" fillId="3" borderId="17" xfId="0" quotePrefix="1" applyFont="1" applyFill="1" applyBorder="1" applyAlignment="1" applyProtection="1">
      <alignment horizontal="left" vertical="center" wrapText="1"/>
    </xf>
    <xf numFmtId="0" fontId="2" fillId="3" borderId="17" xfId="0" quotePrefix="1" applyFont="1" applyFill="1" applyBorder="1" applyAlignment="1" applyProtection="1">
      <alignment horizontal="left" vertical="center" wrapText="1"/>
    </xf>
    <xf numFmtId="0" fontId="11" fillId="3" borderId="29" xfId="0" applyFont="1" applyFill="1" applyBorder="1" applyAlignment="1">
      <alignment horizontal="center"/>
    </xf>
    <xf numFmtId="0" fontId="9" fillId="15" borderId="29" xfId="0" applyFont="1" applyFill="1" applyBorder="1" applyAlignment="1" applyProtection="1">
      <alignment horizontal="center" vertical="center"/>
      <protection locked="0"/>
    </xf>
    <xf numFmtId="0" fontId="11" fillId="18" borderId="29" xfId="0" applyFont="1" applyFill="1" applyBorder="1" applyAlignment="1" applyProtection="1">
      <alignment horizontal="center" vertical="center"/>
      <protection locked="0"/>
    </xf>
    <xf numFmtId="0" fontId="11" fillId="13" borderId="29" xfId="0" applyFont="1" applyFill="1" applyBorder="1" applyAlignment="1">
      <alignment horizontal="center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61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11" borderId="29" xfId="0" applyFont="1" applyFill="1" applyBorder="1" applyAlignment="1" applyProtection="1">
      <alignment horizontal="center" vertical="center"/>
    </xf>
    <xf numFmtId="0" fontId="2" fillId="12" borderId="29" xfId="0" applyFont="1" applyFill="1" applyBorder="1" applyAlignment="1" applyProtection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</xf>
    <xf numFmtId="0" fontId="2" fillId="11" borderId="48" xfId="0" applyFont="1" applyFill="1" applyBorder="1" applyAlignment="1" applyProtection="1">
      <alignment horizontal="left" vertical="center"/>
    </xf>
    <xf numFmtId="0" fontId="2" fillId="11" borderId="48" xfId="0" applyFont="1" applyFill="1" applyBorder="1" applyAlignment="1" applyProtection="1">
      <alignment horizontal="center" vertical="center"/>
    </xf>
    <xf numFmtId="0" fontId="2" fillId="11" borderId="47" xfId="0" applyFont="1" applyFill="1" applyBorder="1" applyAlignment="1" applyProtection="1">
      <alignment horizontal="center" vertical="center"/>
    </xf>
    <xf numFmtId="0" fontId="2" fillId="12" borderId="48" xfId="0" applyFont="1" applyFill="1" applyBorder="1" applyAlignment="1" applyProtection="1">
      <alignment horizontal="left" vertical="center"/>
    </xf>
    <xf numFmtId="0" fontId="2" fillId="12" borderId="48" xfId="0" applyFont="1" applyFill="1" applyBorder="1" applyAlignment="1" applyProtection="1">
      <alignment horizontal="center" vertical="center"/>
    </xf>
    <xf numFmtId="0" fontId="2" fillId="12" borderId="47" xfId="0" applyFont="1" applyFill="1" applyBorder="1" applyAlignment="1" applyProtection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51" xfId="0" quotePrefix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67" xfId="0" quotePrefix="1" applyFont="1" applyBorder="1" applyAlignment="1">
      <alignment horizontal="center" vertical="center"/>
    </xf>
    <xf numFmtId="0" fontId="35" fillId="12" borderId="0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0" fillId="0" borderId="49" xfId="1" applyFont="1" applyFill="1" applyBorder="1" applyAlignment="1">
      <alignment horizontal="center" vertical="center" wrapText="1"/>
    </xf>
    <xf numFmtId="0" fontId="20" fillId="0" borderId="50" xfId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5" borderId="67" xfId="0" applyFont="1" applyFill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10" borderId="60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14" borderId="29" xfId="0" applyFont="1" applyFill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11" borderId="29" xfId="0" applyFont="1" applyFill="1" applyBorder="1" applyAlignment="1">
      <alignment horizontal="center"/>
    </xf>
    <xf numFmtId="0" fontId="11" fillId="11" borderId="29" xfId="0" applyFont="1" applyFill="1" applyBorder="1" applyAlignment="1" applyProtection="1">
      <alignment horizontal="center"/>
      <protection locked="0"/>
    </xf>
    <xf numFmtId="0" fontId="11" fillId="14" borderId="29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6" fillId="0" borderId="54" xfId="0" applyFont="1" applyBorder="1" applyProtection="1"/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3" fillId="12" borderId="9" xfId="0" applyFont="1" applyFill="1" applyBorder="1" applyAlignment="1" applyProtection="1">
      <alignment horizontal="center" vertical="center" wrapText="1"/>
      <protection locked="0"/>
    </xf>
    <xf numFmtId="0" fontId="3" fillId="12" borderId="8" xfId="0" applyFont="1" applyFill="1" applyBorder="1" applyAlignment="1" applyProtection="1">
      <alignment horizontal="center" vertical="center" wrapText="1"/>
      <protection locked="0"/>
    </xf>
    <xf numFmtId="0" fontId="3" fillId="12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 wrapText="1"/>
      <protection locked="0"/>
    </xf>
    <xf numFmtId="0" fontId="7" fillId="11" borderId="11" xfId="0" applyFont="1" applyFill="1" applyBorder="1" applyAlignment="1" applyProtection="1">
      <alignment horizontal="center" vertical="center" wrapText="1"/>
      <protection locked="0"/>
    </xf>
    <xf numFmtId="0" fontId="7" fillId="11" borderId="12" xfId="0" applyFont="1" applyFill="1" applyBorder="1" applyAlignment="1" applyProtection="1">
      <alignment horizontal="center" vertical="center" wrapText="1"/>
      <protection locked="0"/>
    </xf>
    <xf numFmtId="165" fontId="7" fillId="15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15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12" xfId="1" applyFont="1" applyFill="1" applyBorder="1" applyAlignment="1" applyProtection="1">
      <alignment horizontal="center" vertical="center" wrapText="1"/>
      <protection locked="0"/>
    </xf>
    <xf numFmtId="0" fontId="39" fillId="14" borderId="5" xfId="0" applyFont="1" applyFill="1" applyBorder="1" applyAlignment="1" applyProtection="1">
      <alignment horizontal="center" vertical="center" wrapText="1"/>
      <protection locked="0"/>
    </xf>
    <xf numFmtId="0" fontId="39" fillId="14" borderId="11" xfId="0" applyFont="1" applyFill="1" applyBorder="1" applyAlignment="1" applyProtection="1">
      <alignment horizontal="center" vertical="center" wrapText="1"/>
      <protection locked="0"/>
    </xf>
    <xf numFmtId="0" fontId="39" fillId="14" borderId="12" xfId="0" applyFont="1" applyFill="1" applyBorder="1" applyAlignment="1" applyProtection="1">
      <alignment horizontal="center" vertical="center" wrapText="1"/>
      <protection locked="0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33" fillId="14" borderId="11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>
      <alignment horizontal="center" vertical="center" wrapText="1"/>
    </xf>
    <xf numFmtId="165" fontId="18" fillId="15" borderId="5" xfId="0" applyNumberFormat="1" applyFont="1" applyFill="1" applyBorder="1" applyAlignment="1">
      <alignment horizontal="center" vertical="center" wrapText="1"/>
    </xf>
    <xf numFmtId="165" fontId="18" fillId="15" borderId="11" xfId="0" applyNumberFormat="1" applyFont="1" applyFill="1" applyBorder="1" applyAlignment="1">
      <alignment horizontal="center" vertical="center" wrapText="1"/>
    </xf>
    <xf numFmtId="165" fontId="18" fillId="15" borderId="12" xfId="0" applyNumberFormat="1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5" fontId="28" fillId="0" borderId="26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165" fontId="18" fillId="15" borderId="14" xfId="0" applyNumberFormat="1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25" xfId="0" applyFont="1" applyBorder="1" applyProtection="1">
      <protection locked="0"/>
    </xf>
    <xf numFmtId="0" fontId="11" fillId="0" borderId="61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 applyProtection="1"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1" fillId="0" borderId="13" xfId="0" applyFont="1" applyBorder="1"/>
    <xf numFmtId="0" fontId="9" fillId="18" borderId="29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10" borderId="22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6" fillId="10" borderId="22" xfId="0" applyFont="1" applyFill="1" applyBorder="1" applyProtection="1"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79"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rgb="FF00B0F0"/>
        </patternFill>
      </fill>
    </dxf>
    <dxf>
      <font>
        <color rgb="FFFF0000"/>
      </font>
      <fill>
        <patternFill>
          <bgColor rgb="FF00B0F0"/>
        </patternFill>
      </fill>
    </dxf>
    <dxf>
      <font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00FF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00FF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66FF33"/>
      <color rgb="FFFFCCFF"/>
      <color rgb="FFFF66CC"/>
      <color rgb="FF0066FF"/>
      <color rgb="FFFFFF66"/>
      <color rgb="FFFF99FF"/>
      <color rgb="FFD7E4BC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261937</xdr:colOff>
      <xdr:row>6</xdr:row>
      <xdr:rowOff>83344</xdr:rowOff>
    </xdr:from>
    <xdr:ext cx="8926162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61937" y="1054894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2022.23</a:t>
          </a:r>
        </a:p>
      </xdr:txBody>
    </xdr:sp>
    <xdr:clientData/>
  </xdr:oneCellAnchor>
  <xdr:oneCellAnchor>
    <xdr:from>
      <xdr:col>1</xdr:col>
      <xdr:colOff>54735</xdr:colOff>
      <xdr:row>16</xdr:row>
      <xdr:rowOff>154781</xdr:rowOff>
    </xdr:from>
    <xdr:ext cx="7388754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16735" y="2821781"/>
          <a:ext cx="738875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5ème Journée  SATILLIEU</a:t>
          </a:r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601272" cy="134466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048000" y="4695825"/>
          <a:ext cx="1601272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M4</a:t>
          </a:r>
        </a:p>
      </xdr:txBody>
    </xdr:sp>
    <xdr:clientData/>
  </xdr:oneCellAnchor>
  <xdr:oneCellAnchor>
    <xdr:from>
      <xdr:col>2</xdr:col>
      <xdr:colOff>582776</xdr:colOff>
      <xdr:row>24</xdr:row>
      <xdr:rowOff>59531</xdr:rowOff>
    </xdr:from>
    <xdr:ext cx="4268541" cy="6558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106776" y="4060031"/>
          <a:ext cx="426854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Samedi 18</a:t>
          </a:r>
          <a:r>
            <a:rPr lang="fr-FR" sz="3600" b="1" cap="none" spc="0" baseline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mars 2023</a:t>
          </a:r>
          <a:endParaRPr lang="fr-FR" sz="3600" b="1" cap="none" spc="0">
            <a:ln w="1905"/>
            <a:solidFill>
              <a:srgbClr val="FFC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76200</xdr:rowOff>
    </xdr:from>
    <xdr:to>
      <xdr:col>1</xdr:col>
      <xdr:colOff>591000</xdr:colOff>
      <xdr:row>6</xdr:row>
      <xdr:rowOff>105497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6200"/>
          <a:ext cx="972000" cy="1000847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361950</xdr:colOff>
      <xdr:row>0</xdr:row>
      <xdr:rowOff>104775</xdr:rowOff>
    </xdr:from>
    <xdr:to>
      <xdr:col>11</xdr:col>
      <xdr:colOff>276225</xdr:colOff>
      <xdr:row>6</xdr:row>
      <xdr:rowOff>73464</xdr:rowOff>
    </xdr:to>
    <xdr:pic>
      <xdr:nvPicPr>
        <xdr:cNvPr id="8" name="Image 7" descr="cbd07a - Copie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81950" y="104775"/>
          <a:ext cx="676275" cy="940239"/>
        </a:xfrm>
        <a:prstGeom prst="rect">
          <a:avLst/>
        </a:prstGeom>
      </xdr:spPr>
    </xdr:pic>
    <xdr:clientData/>
  </xdr:twoCellAnchor>
  <xdr:oneCellAnchor>
    <xdr:from>
      <xdr:col>4</xdr:col>
      <xdr:colOff>47626</xdr:colOff>
      <xdr:row>0</xdr:row>
      <xdr:rowOff>83343</xdr:rowOff>
    </xdr:from>
    <xdr:ext cx="2445966" cy="90487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095626" y="83343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solidFill>
                <a:srgbClr val="0066FF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35</xdr:row>
      <xdr:rowOff>28575</xdr:rowOff>
    </xdr:from>
    <xdr:to>
      <xdr:col>0</xdr:col>
      <xdr:colOff>1876425</xdr:colOff>
      <xdr:row>35</xdr:row>
      <xdr:rowOff>228600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647700" y="8667750"/>
          <a:ext cx="1228725" cy="200025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%20HILAIRE\Downloads\Logiciels%20Concours%20Qualificatifs%20M4\C.Q.%20M4%201&#232;re%20J\C.%20Q.%20.1&#232;re%20J_S_1.10.22_M4%20Cornas_Ok_V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ties%20group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A_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_1_M4 Cornas"/>
      <sheetName val="Déroulé"/>
      <sheetName val="Liste Equipes"/>
      <sheetName val="1A_G"/>
      <sheetName val="1A_F"/>
      <sheetName val="1A_Cl."/>
      <sheetName val="1A_C.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CONCOURS QUALIFICATIFS - ARDECHE 2022.23</v>
          </cell>
        </row>
        <row r="2">
          <cell r="C2" t="str">
            <v>M4   1ère Journée</v>
          </cell>
        </row>
        <row r="7"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R15">
            <v>0</v>
          </cell>
          <cell r="S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R17">
            <v>0</v>
          </cell>
          <cell r="S17">
            <v>0</v>
          </cell>
        </row>
        <row r="18"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group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_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L43"/>
  <sheetViews>
    <sheetView zoomScale="80" zoomScaleNormal="80" workbookViewId="0">
      <selection activeCell="J31" sqref="J31"/>
    </sheetView>
  </sheetViews>
  <sheetFormatPr baseColWidth="10" defaultRowHeight="12.75"/>
  <sheetData>
    <row r="1" spans="1:1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1:1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1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2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  <row r="13" spans="1:1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1:1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6"/>
    </row>
    <row r="17" spans="1:12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1:12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2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1:12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1:1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1:1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1:1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</row>
    <row r="36" spans="1:12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</row>
    <row r="37" spans="1:1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</row>
    <row r="38" spans="1:1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</row>
    <row r="39" spans="1:12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</row>
    <row r="41" spans="1:12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</row>
    <row r="42" spans="1:1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</row>
    <row r="43" spans="1:12" ht="13.5" thickBot="1">
      <c r="A43" s="2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workbookViewId="0">
      <selection activeCell="J9" sqref="J9"/>
    </sheetView>
  </sheetViews>
  <sheetFormatPr baseColWidth="10" defaultColWidth="11.42578125" defaultRowHeight="12.75"/>
  <cols>
    <col min="1" max="1" width="33.85546875" style="13" customWidth="1"/>
    <col min="2" max="16384" width="11.42578125" style="13"/>
  </cols>
  <sheetData>
    <row r="1" spans="1:12" ht="26.25">
      <c r="A1" s="477" t="s">
        <v>21</v>
      </c>
      <c r="B1" s="477"/>
      <c r="C1" s="477"/>
      <c r="D1" s="477"/>
      <c r="E1" s="477"/>
      <c r="F1" s="477"/>
      <c r="G1" s="477"/>
    </row>
    <row r="2" spans="1:12" ht="21" thickBot="1">
      <c r="A2" s="28"/>
      <c r="B2" s="29"/>
      <c r="C2" s="29"/>
      <c r="D2" s="29"/>
      <c r="E2" s="29"/>
      <c r="F2" s="30"/>
      <c r="G2" s="30"/>
    </row>
    <row r="3" spans="1:12" ht="21" thickBot="1">
      <c r="A3" s="274" t="s">
        <v>22</v>
      </c>
      <c r="B3" s="29"/>
      <c r="C3" s="29"/>
      <c r="D3" s="29"/>
      <c r="E3" s="29"/>
      <c r="F3" s="30"/>
      <c r="G3" s="30"/>
    </row>
    <row r="4" spans="1:12" ht="20.25">
      <c r="A4" s="28">
        <v>1</v>
      </c>
      <c r="B4" s="29" t="s">
        <v>23</v>
      </c>
      <c r="C4" s="29"/>
      <c r="D4" s="29"/>
      <c r="E4" s="29"/>
      <c r="F4" s="30"/>
      <c r="G4" s="30"/>
    </row>
    <row r="5" spans="1:12" ht="10.5" customHeight="1">
      <c r="A5" s="28"/>
      <c r="B5" s="29"/>
      <c r="C5" s="29"/>
      <c r="D5" s="29"/>
      <c r="E5" s="29"/>
      <c r="F5" s="30"/>
      <c r="G5" s="30"/>
    </row>
    <row r="6" spans="1:12" ht="20.25">
      <c r="A6" s="28">
        <v>2</v>
      </c>
      <c r="B6" s="29" t="s">
        <v>24</v>
      </c>
      <c r="C6" s="29"/>
      <c r="D6" s="29"/>
      <c r="E6" s="29"/>
      <c r="F6" s="30"/>
      <c r="G6" s="30"/>
    </row>
    <row r="7" spans="1:12" ht="13.5" customHeight="1">
      <c r="A7" s="28"/>
      <c r="B7" s="29"/>
      <c r="C7" s="29"/>
      <c r="D7" s="29"/>
      <c r="E7" s="29"/>
      <c r="F7" s="30"/>
      <c r="G7" s="30"/>
    </row>
    <row r="8" spans="1:12" ht="20.25">
      <c r="A8" s="28" t="s">
        <v>36</v>
      </c>
      <c r="B8" s="29" t="s">
        <v>25</v>
      </c>
      <c r="C8" s="29"/>
      <c r="D8" s="29"/>
      <c r="E8" s="29"/>
      <c r="F8" s="30"/>
      <c r="G8" s="30"/>
    </row>
    <row r="9" spans="1:12" ht="20.25">
      <c r="A9" s="28"/>
      <c r="B9" s="29" t="s">
        <v>35</v>
      </c>
      <c r="C9" s="29"/>
      <c r="D9" s="29"/>
      <c r="E9" s="29"/>
      <c r="F9" s="30"/>
      <c r="G9" s="30"/>
    </row>
    <row r="10" spans="1:12" ht="14.25" customHeight="1">
      <c r="A10" s="28"/>
      <c r="B10" s="29"/>
      <c r="C10" s="29"/>
      <c r="D10" s="29"/>
      <c r="E10" s="29"/>
      <c r="F10" s="30"/>
      <c r="G10" s="30"/>
    </row>
    <row r="11" spans="1:12" ht="20.25">
      <c r="A11" s="28"/>
      <c r="B11" s="29" t="s">
        <v>39</v>
      </c>
      <c r="C11" s="29"/>
      <c r="D11" s="29"/>
      <c r="E11" s="29"/>
      <c r="F11" s="30"/>
      <c r="G11" s="30"/>
    </row>
    <row r="12" spans="1:12" ht="21" thickBot="1">
      <c r="A12" s="28"/>
      <c r="B12" s="29"/>
      <c r="C12" s="29"/>
      <c r="D12" s="29"/>
      <c r="E12" s="29"/>
      <c r="F12" s="30"/>
      <c r="G12" s="30"/>
    </row>
    <row r="13" spans="1:12" ht="20.25">
      <c r="A13" s="259" t="s">
        <v>87</v>
      </c>
      <c r="B13" s="260" t="s">
        <v>140</v>
      </c>
      <c r="C13" s="260"/>
      <c r="D13" s="260"/>
      <c r="E13" s="260"/>
      <c r="F13" s="261"/>
      <c r="G13" s="261"/>
      <c r="H13" s="262"/>
      <c r="I13" s="262"/>
      <c r="J13" s="262"/>
      <c r="K13" s="262"/>
      <c r="L13" s="263"/>
    </row>
    <row r="14" spans="1:12" ht="20.25">
      <c r="A14" s="264"/>
      <c r="B14" s="265" t="s">
        <v>113</v>
      </c>
      <c r="C14" s="265"/>
      <c r="D14" s="265"/>
      <c r="E14" s="265"/>
      <c r="F14" s="266"/>
      <c r="G14" s="266"/>
      <c r="H14" s="267"/>
      <c r="I14" s="267"/>
      <c r="J14" s="267"/>
      <c r="K14" s="267"/>
      <c r="L14" s="268"/>
    </row>
    <row r="15" spans="1:12" ht="20.25">
      <c r="A15" s="264"/>
      <c r="B15" s="265" t="s">
        <v>114</v>
      </c>
      <c r="C15" s="265"/>
      <c r="D15" s="265"/>
      <c r="E15" s="265"/>
      <c r="F15" s="266"/>
      <c r="G15" s="266"/>
      <c r="H15" s="267"/>
      <c r="I15" s="267"/>
      <c r="J15" s="267"/>
      <c r="K15" s="267"/>
      <c r="L15" s="268"/>
    </row>
    <row r="16" spans="1:12" ht="21" thickBot="1">
      <c r="A16" s="269"/>
      <c r="B16" s="270" t="s">
        <v>115</v>
      </c>
      <c r="C16" s="270"/>
      <c r="D16" s="270"/>
      <c r="E16" s="270"/>
      <c r="F16" s="271"/>
      <c r="G16" s="271"/>
      <c r="H16" s="272"/>
      <c r="I16" s="272"/>
      <c r="J16" s="272"/>
      <c r="K16" s="272"/>
      <c r="L16" s="273"/>
    </row>
    <row r="17" spans="1:7" ht="20.25">
      <c r="A17" s="28"/>
      <c r="C17" s="29"/>
      <c r="D17" s="29"/>
      <c r="E17" s="29"/>
      <c r="F17" s="30"/>
      <c r="G17" s="30"/>
    </row>
    <row r="18" spans="1:7" ht="20.25">
      <c r="A18" s="28" t="s">
        <v>37</v>
      </c>
      <c r="B18" s="29" t="s">
        <v>28</v>
      </c>
      <c r="C18" s="29"/>
      <c r="D18" s="29"/>
      <c r="E18" s="29"/>
      <c r="F18" s="30"/>
      <c r="G18" s="30"/>
    </row>
    <row r="19" spans="1:7" ht="20.25">
      <c r="A19" s="28"/>
      <c r="B19" s="29" t="s">
        <v>29</v>
      </c>
      <c r="C19" s="29"/>
      <c r="D19" s="29"/>
      <c r="E19" s="29"/>
      <c r="F19" s="30"/>
      <c r="G19" s="30"/>
    </row>
    <row r="20" spans="1:7" ht="20.25">
      <c r="A20" s="28"/>
      <c r="B20" s="29" t="s">
        <v>30</v>
      </c>
      <c r="C20" s="29"/>
      <c r="D20" s="29"/>
      <c r="E20" s="29"/>
      <c r="F20" s="30"/>
      <c r="G20" s="30"/>
    </row>
    <row r="21" spans="1:7" ht="20.25">
      <c r="A21" s="28"/>
      <c r="B21" s="29" t="s">
        <v>31</v>
      </c>
      <c r="C21" s="29"/>
      <c r="D21" s="29"/>
      <c r="E21" s="29"/>
      <c r="F21" s="30"/>
      <c r="G21" s="30"/>
    </row>
    <row r="22" spans="1:7" ht="20.25">
      <c r="A22" s="28"/>
      <c r="B22" s="29" t="s">
        <v>32</v>
      </c>
      <c r="C22" s="29"/>
      <c r="D22" s="29"/>
      <c r="E22" s="29"/>
      <c r="F22" s="30"/>
      <c r="G22" s="30"/>
    </row>
    <row r="23" spans="1:7" ht="18" customHeight="1">
      <c r="A23" s="28"/>
      <c r="B23" s="29"/>
      <c r="C23" s="29"/>
      <c r="D23" s="29"/>
      <c r="E23" s="29"/>
      <c r="F23" s="30"/>
      <c r="G23" s="30"/>
    </row>
    <row r="24" spans="1:7" ht="20.25">
      <c r="A24" s="28" t="s">
        <v>11</v>
      </c>
      <c r="B24" s="29" t="s">
        <v>33</v>
      </c>
      <c r="C24" s="29"/>
      <c r="D24" s="29"/>
      <c r="E24" s="29"/>
      <c r="F24" s="30"/>
      <c r="G24" s="30"/>
    </row>
    <row r="25" spans="1:7" ht="20.25">
      <c r="A25" s="31"/>
      <c r="B25" s="29" t="s">
        <v>34</v>
      </c>
      <c r="C25" s="30"/>
      <c r="D25" s="30"/>
      <c r="E25" s="30"/>
      <c r="F25" s="30"/>
      <c r="G25" s="30"/>
    </row>
    <row r="26" spans="1:7" ht="15">
      <c r="A26" s="31"/>
      <c r="B26" s="30"/>
      <c r="C26" s="30"/>
      <c r="D26" s="30"/>
      <c r="E26" s="30"/>
      <c r="F26" s="30"/>
      <c r="G26" s="30"/>
    </row>
    <row r="28" spans="1:7" ht="20.25">
      <c r="A28" s="32" t="s">
        <v>38</v>
      </c>
      <c r="B28" s="29" t="s">
        <v>27</v>
      </c>
    </row>
    <row r="29" spans="1:7" ht="20.25">
      <c r="B29" s="33" t="s">
        <v>26</v>
      </c>
    </row>
    <row r="30" spans="1:7" ht="20.25">
      <c r="B30" s="33"/>
    </row>
    <row r="31" spans="1:7" ht="20.25">
      <c r="B31" s="33" t="s">
        <v>141</v>
      </c>
      <c r="C31" s="33"/>
    </row>
    <row r="32" spans="1:7" ht="20.25">
      <c r="B32" s="33"/>
      <c r="C32" s="33"/>
    </row>
    <row r="33" spans="1:3" ht="20.25">
      <c r="A33" s="33" t="s">
        <v>111</v>
      </c>
      <c r="B33" s="33" t="s">
        <v>112</v>
      </c>
      <c r="C33" s="33"/>
    </row>
    <row r="34" spans="1:3" ht="20.25">
      <c r="C34" s="33"/>
    </row>
    <row r="35" spans="1:3" ht="20.25">
      <c r="C35" s="33"/>
    </row>
    <row r="36" spans="1:3" ht="20.25">
      <c r="A36" s="337" t="s">
        <v>144</v>
      </c>
      <c r="B36" s="33" t="s">
        <v>142</v>
      </c>
      <c r="C36" s="33"/>
    </row>
    <row r="37" spans="1:3" ht="20.25">
      <c r="B37" s="33" t="s">
        <v>143</v>
      </c>
      <c r="C37" s="33"/>
    </row>
    <row r="38" spans="1:3" ht="20.25">
      <c r="B38" s="33" t="s">
        <v>145</v>
      </c>
      <c r="C38" s="33"/>
    </row>
    <row r="39" spans="1:3" ht="20.25">
      <c r="C39" s="33" t="s">
        <v>146</v>
      </c>
    </row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59"/>
  <sheetViews>
    <sheetView tabSelected="1" topLeftCell="B1" zoomScale="70" zoomScaleNormal="70" workbookViewId="0">
      <selection activeCell="B13" sqref="B13"/>
    </sheetView>
  </sheetViews>
  <sheetFormatPr baseColWidth="10" defaultColWidth="11.42578125" defaultRowHeight="15"/>
  <cols>
    <col min="1" max="1" width="6.5703125" style="1" customWidth="1"/>
    <col min="2" max="2" width="34.140625" style="1" customWidth="1"/>
    <col min="3" max="3" width="31.7109375" style="1" customWidth="1"/>
    <col min="4" max="4" width="23.42578125" style="1" bestFit="1" customWidth="1"/>
    <col min="5" max="5" width="4.85546875" style="10" customWidth="1"/>
    <col min="6" max="6" width="10.42578125" style="10" customWidth="1"/>
    <col min="7" max="7" width="6.5703125" style="1" customWidth="1"/>
    <col min="8" max="8" width="6.85546875" style="3" customWidth="1"/>
    <col min="9" max="9" width="28.140625" style="3" customWidth="1"/>
    <col min="10" max="10" width="8.7109375" style="1" customWidth="1"/>
    <col min="11" max="11" width="6.5703125" style="1" hidden="1" customWidth="1"/>
    <col min="12" max="12" width="9.42578125" style="1" hidden="1" customWidth="1"/>
    <col min="13" max="13" width="15" style="1" hidden="1" customWidth="1"/>
    <col min="14" max="14" width="7" style="1" hidden="1" customWidth="1"/>
    <col min="15" max="15" width="9.42578125" style="1" hidden="1" customWidth="1"/>
    <col min="16" max="16" width="4" style="1" customWidth="1"/>
    <col min="17" max="17" width="10" style="3" customWidth="1"/>
    <col min="18" max="18" width="31.85546875" style="3" customWidth="1"/>
    <col min="19" max="19" width="10.5703125" style="1" customWidth="1"/>
    <col min="20" max="20" width="6.28515625" style="1" hidden="1" customWidth="1"/>
    <col min="21" max="21" width="12.85546875" style="1" hidden="1" customWidth="1"/>
    <col min="22" max="22" width="17.28515625" style="1" hidden="1" customWidth="1"/>
    <col min="23" max="23" width="5.85546875" style="1" hidden="1" customWidth="1"/>
    <col min="24" max="24" width="12.28515625" style="1" hidden="1" customWidth="1"/>
    <col min="25" max="25" width="3.7109375" style="4" customWidth="1"/>
    <col min="26" max="26" width="10.28515625" style="1" customWidth="1"/>
    <col min="27" max="27" width="31.42578125" style="3" customWidth="1"/>
    <col min="28" max="28" width="11.140625" style="1" customWidth="1"/>
    <col min="29" max="29" width="8.7109375" style="1" hidden="1" customWidth="1"/>
    <col min="30" max="30" width="12.85546875" style="1" hidden="1" customWidth="1"/>
    <col min="31" max="31" width="15.5703125" style="1" hidden="1" customWidth="1"/>
    <col min="32" max="32" width="7.140625" style="1" hidden="1" customWidth="1"/>
    <col min="33" max="33" width="10.85546875" style="1" hidden="1" customWidth="1"/>
    <col min="34" max="34" width="5.42578125" customWidth="1"/>
    <col min="35" max="35" width="30.5703125" style="1" customWidth="1"/>
    <col min="36" max="36" width="8" style="1" customWidth="1"/>
    <col min="37" max="37" width="8.42578125" style="1" customWidth="1"/>
    <col min="38" max="38" width="13.42578125" style="1" customWidth="1"/>
    <col min="39" max="39" width="16.7109375" style="1" customWidth="1"/>
    <col min="40" max="40" width="7.28515625" hidden="1" customWidth="1"/>
    <col min="41" max="41" width="28.28515625" style="1" customWidth="1"/>
    <col min="42" max="42" width="4.28515625" style="1" customWidth="1"/>
    <col min="43" max="43" width="17.28515625" style="1" hidden="1" customWidth="1"/>
    <col min="44" max="44" width="16.7109375" style="1" hidden="1" customWidth="1"/>
    <col min="45" max="45" width="9.140625" style="1" hidden="1" customWidth="1"/>
    <col min="46" max="46" width="8.85546875" style="4" customWidth="1"/>
    <col min="47" max="47" width="24.85546875" style="10" bestFit="1" customWidth="1"/>
    <col min="48" max="49" width="9" style="10" customWidth="1"/>
    <col min="50" max="50" width="14.85546875" style="10" customWidth="1"/>
    <col min="51" max="51" width="16.42578125" style="10" customWidth="1"/>
    <col min="52" max="52" width="22.5703125" style="1" customWidth="1"/>
    <col min="53" max="53" width="7.7109375" style="1" customWidth="1"/>
    <col min="54" max="54" width="30" style="1" bestFit="1" customWidth="1"/>
    <col min="55" max="55" width="12.42578125" style="1" customWidth="1"/>
    <col min="56" max="56" width="11.42578125" style="1" customWidth="1"/>
    <col min="57" max="57" width="10.85546875" style="1" customWidth="1"/>
    <col min="58" max="58" width="10.42578125" style="1" customWidth="1"/>
    <col min="59" max="16384" width="11.42578125" style="1"/>
  </cols>
  <sheetData>
    <row r="1" spans="1:58" ht="39" customHeight="1" thickBot="1">
      <c r="A1" s="504" t="s">
        <v>199</v>
      </c>
      <c r="B1" s="505"/>
      <c r="C1" s="505"/>
      <c r="D1" s="505"/>
      <c r="E1" s="505"/>
      <c r="F1" s="505"/>
      <c r="G1" s="506"/>
      <c r="H1" s="498" t="s">
        <v>200</v>
      </c>
      <c r="I1" s="499"/>
      <c r="J1" s="500"/>
      <c r="N1" s="10"/>
      <c r="O1" s="10"/>
      <c r="P1" s="10"/>
      <c r="Q1" s="1"/>
      <c r="R1" s="4"/>
      <c r="AA1" s="1"/>
      <c r="AB1" s="9"/>
      <c r="AC1" s="9"/>
      <c r="AD1" s="9"/>
      <c r="AE1" s="9"/>
      <c r="AF1" s="9"/>
      <c r="AG1" s="9"/>
      <c r="AI1" s="9"/>
      <c r="AJ1" s="9"/>
      <c r="AK1" s="9"/>
      <c r="AL1" s="9"/>
      <c r="AM1" s="9"/>
      <c r="AO1" s="9"/>
      <c r="AP1" s="9"/>
      <c r="AQ1" s="9"/>
      <c r="AR1" s="9"/>
      <c r="AS1" s="9"/>
      <c r="AT1" s="9"/>
    </row>
    <row r="2" spans="1:58" ht="34.5" customHeight="1" thickBot="1">
      <c r="A2" s="507" t="s">
        <v>198</v>
      </c>
      <c r="B2" s="508"/>
      <c r="C2" s="508"/>
      <c r="D2" s="508"/>
      <c r="E2" s="508"/>
      <c r="F2" s="508"/>
      <c r="G2" s="509"/>
      <c r="H2" s="501" t="s">
        <v>204</v>
      </c>
      <c r="I2" s="502"/>
      <c r="J2" s="503"/>
      <c r="N2" s="10"/>
      <c r="O2" s="10"/>
      <c r="AJ2" s="244"/>
      <c r="AK2" s="244"/>
      <c r="AL2" s="244"/>
      <c r="AM2" s="244"/>
      <c r="AO2" s="246"/>
      <c r="AP2" s="244"/>
      <c r="AQ2" s="243"/>
      <c r="AR2" s="244"/>
      <c r="AS2" s="244"/>
      <c r="AT2" s="247"/>
      <c r="AU2" s="245"/>
      <c r="AV2" s="245"/>
      <c r="AW2" s="245"/>
      <c r="AX2" s="245"/>
      <c r="AY2" s="245"/>
      <c r="AZ2" s="246"/>
    </row>
    <row r="3" spans="1:58" ht="24" customHeight="1" thickBot="1">
      <c r="F3"/>
      <c r="G3"/>
      <c r="H3"/>
      <c r="I3"/>
      <c r="J3"/>
      <c r="N3" s="10"/>
      <c r="O3" s="10"/>
      <c r="AJ3" s="244"/>
      <c r="AK3" s="244"/>
      <c r="AL3" s="244"/>
      <c r="AM3" s="244"/>
      <c r="AO3" s="246"/>
      <c r="AP3" s="244"/>
      <c r="AQ3" s="243"/>
      <c r="AR3" s="244"/>
      <c r="AS3" s="244"/>
      <c r="AT3" s="247"/>
      <c r="AU3" s="245"/>
      <c r="AV3" s="245"/>
      <c r="AW3" s="245"/>
      <c r="AX3" s="245"/>
      <c r="AY3" s="245"/>
      <c r="AZ3" s="246"/>
    </row>
    <row r="4" spans="1:58" s="4" customFormat="1" ht="24.95" customHeight="1" thickBot="1">
      <c r="A4" s="8"/>
      <c r="B4" s="510">
        <v>44835</v>
      </c>
      <c r="C4" s="511"/>
      <c r="D4" s="10"/>
      <c r="E4" s="10"/>
      <c r="F4" s="10"/>
      <c r="G4" s="1"/>
      <c r="H4" s="3"/>
      <c r="I4" s="3"/>
      <c r="J4" s="1"/>
      <c r="K4" s="1"/>
      <c r="L4" s="1"/>
      <c r="M4" s="1"/>
      <c r="N4" s="1"/>
      <c r="O4" s="1"/>
      <c r="P4" s="1"/>
      <c r="Q4" s="3"/>
      <c r="R4" s="3"/>
      <c r="S4" s="1"/>
      <c r="T4" s="1"/>
      <c r="U4" s="1"/>
      <c r="V4" s="1"/>
      <c r="W4" s="1"/>
      <c r="X4" s="1"/>
      <c r="Z4" s="1"/>
      <c r="AA4" s="3"/>
      <c r="AB4" s="1"/>
      <c r="AC4" s="10"/>
      <c r="AD4" s="10"/>
      <c r="AE4" s="10"/>
      <c r="AF4" s="10"/>
      <c r="AG4" s="10"/>
      <c r="AH4"/>
      <c r="AI4" s="10"/>
      <c r="AJ4" s="167"/>
      <c r="AK4" s="167"/>
      <c r="AL4" s="167"/>
      <c r="AM4" s="167"/>
      <c r="AN4"/>
      <c r="AO4" s="1"/>
      <c r="AP4" s="10"/>
      <c r="AQ4" s="10"/>
      <c r="AR4" s="10"/>
      <c r="AS4" s="10"/>
      <c r="AT4" s="1"/>
      <c r="AU4" s="10"/>
      <c r="AV4" s="10"/>
      <c r="AW4" s="10"/>
      <c r="AX4" s="10"/>
      <c r="AY4" s="10"/>
      <c r="AZ4" s="1"/>
      <c r="BA4" s="1"/>
      <c r="BB4" s="1"/>
      <c r="BC4" s="1"/>
      <c r="BD4" s="1"/>
      <c r="BE4" s="1"/>
      <c r="BF4" s="1"/>
    </row>
    <row r="5" spans="1:58" ht="24.95" customHeight="1" thickBot="1">
      <c r="A5" s="8"/>
      <c r="B5" s="8"/>
      <c r="C5" s="8"/>
      <c r="D5" s="379" t="s">
        <v>197</v>
      </c>
      <c r="G5" s="10"/>
      <c r="H5" s="481" t="s">
        <v>15</v>
      </c>
      <c r="I5" s="482"/>
      <c r="J5" s="483"/>
      <c r="K5" s="10"/>
      <c r="L5" s="10"/>
      <c r="M5" s="10"/>
      <c r="N5" s="10"/>
      <c r="O5" s="10"/>
      <c r="P5" s="10"/>
      <c r="Q5" s="481" t="s">
        <v>16</v>
      </c>
      <c r="R5" s="482"/>
      <c r="S5" s="483"/>
      <c r="T5" s="10"/>
      <c r="U5" s="10"/>
      <c r="V5" s="10"/>
      <c r="W5" s="10"/>
      <c r="X5" s="10"/>
      <c r="Y5" s="10"/>
      <c r="Z5" s="481" t="s">
        <v>17</v>
      </c>
      <c r="AA5" s="482"/>
      <c r="AB5" s="483"/>
      <c r="AC5" s="9"/>
      <c r="AD5" s="9"/>
      <c r="AE5" s="9"/>
      <c r="AF5" s="9"/>
      <c r="AG5" s="9"/>
      <c r="AI5" s="169" t="s">
        <v>7</v>
      </c>
      <c r="AJ5" s="169">
        <v>1</v>
      </c>
      <c r="AK5" s="170">
        <v>2</v>
      </c>
      <c r="AL5" s="170">
        <v>3</v>
      </c>
      <c r="AM5" s="171">
        <v>4</v>
      </c>
      <c r="AO5" s="512" t="s">
        <v>203</v>
      </c>
      <c r="AP5" s="9"/>
      <c r="AQ5" s="9"/>
      <c r="AR5" s="9"/>
      <c r="AS5" s="9"/>
      <c r="AT5" s="495" t="s">
        <v>11</v>
      </c>
      <c r="AU5" s="496"/>
      <c r="AV5" s="496"/>
      <c r="AW5" s="496"/>
      <c r="AX5" s="496"/>
      <c r="AY5" s="496"/>
      <c r="AZ5" s="497"/>
      <c r="BA5" s="4"/>
      <c r="BB5" s="478" t="s">
        <v>76</v>
      </c>
      <c r="BC5" s="479"/>
      <c r="BD5" s="479"/>
      <c r="BE5" s="479"/>
      <c r="BF5" s="480"/>
    </row>
    <row r="6" spans="1:58" ht="24.95" customHeight="1" thickBot="1">
      <c r="A6" s="465"/>
      <c r="B6" s="466" t="s">
        <v>3</v>
      </c>
      <c r="C6" s="467" t="s">
        <v>4</v>
      </c>
      <c r="D6" s="380" t="s">
        <v>195</v>
      </c>
      <c r="F6" s="275" t="s">
        <v>14</v>
      </c>
      <c r="G6" s="276"/>
      <c r="H6" s="275" t="s">
        <v>2</v>
      </c>
      <c r="I6" s="277" t="s">
        <v>0</v>
      </c>
      <c r="J6" s="277" t="s">
        <v>1</v>
      </c>
      <c r="K6" s="5" t="s">
        <v>9</v>
      </c>
      <c r="L6" s="5" t="s">
        <v>18</v>
      </c>
      <c r="M6" s="5" t="s">
        <v>19</v>
      </c>
      <c r="N6" s="5" t="s">
        <v>10</v>
      </c>
      <c r="O6" s="5" t="s">
        <v>13</v>
      </c>
      <c r="P6" s="3"/>
      <c r="Q6" s="275" t="s">
        <v>2</v>
      </c>
      <c r="R6" s="277" t="s">
        <v>0</v>
      </c>
      <c r="S6" s="277" t="s">
        <v>1</v>
      </c>
      <c r="T6" s="5" t="s">
        <v>9</v>
      </c>
      <c r="U6" s="5" t="s">
        <v>18</v>
      </c>
      <c r="V6" s="5" t="s">
        <v>19</v>
      </c>
      <c r="W6" s="5" t="s">
        <v>10</v>
      </c>
      <c r="X6" s="5" t="s">
        <v>13</v>
      </c>
      <c r="Y6" s="1"/>
      <c r="Z6" s="275" t="s">
        <v>2</v>
      </c>
      <c r="AA6" s="277" t="s">
        <v>0</v>
      </c>
      <c r="AB6" s="277" t="s">
        <v>1</v>
      </c>
      <c r="AC6" s="5" t="s">
        <v>9</v>
      </c>
      <c r="AD6" s="5" t="s">
        <v>18</v>
      </c>
      <c r="AE6" s="5" t="s">
        <v>19</v>
      </c>
      <c r="AF6" s="5" t="s">
        <v>10</v>
      </c>
      <c r="AG6" s="5" t="s">
        <v>13</v>
      </c>
      <c r="AI6" s="293" t="s">
        <v>8</v>
      </c>
      <c r="AJ6" s="286" t="s">
        <v>9</v>
      </c>
      <c r="AK6" s="286" t="s">
        <v>10</v>
      </c>
      <c r="AL6" s="289" t="s">
        <v>18</v>
      </c>
      <c r="AM6" s="289" t="s">
        <v>19</v>
      </c>
      <c r="AO6" s="513"/>
      <c r="AP6" s="6"/>
      <c r="AQ6" s="6" t="s">
        <v>5</v>
      </c>
      <c r="AR6" s="6" t="s">
        <v>6</v>
      </c>
      <c r="AS6" s="6"/>
      <c r="AT6" s="34" t="s">
        <v>12</v>
      </c>
      <c r="AU6" s="35" t="s">
        <v>8</v>
      </c>
      <c r="AV6" s="36" t="s">
        <v>9</v>
      </c>
      <c r="AW6" s="38" t="s">
        <v>10</v>
      </c>
      <c r="AX6" s="20" t="s">
        <v>18</v>
      </c>
      <c r="AY6" s="37" t="s">
        <v>19</v>
      </c>
      <c r="AZ6" s="177" t="s">
        <v>86</v>
      </c>
      <c r="BA6" s="10"/>
      <c r="BB6" s="189"/>
      <c r="BC6" s="190" t="s">
        <v>74</v>
      </c>
      <c r="BD6" s="191" t="s">
        <v>77</v>
      </c>
      <c r="BE6" s="191" t="s">
        <v>78</v>
      </c>
      <c r="BF6" s="191" t="s">
        <v>79</v>
      </c>
    </row>
    <row r="7" spans="1:58" ht="24.95" customHeight="1">
      <c r="A7" s="564">
        <v>1</v>
      </c>
      <c r="B7" s="577" t="s">
        <v>167</v>
      </c>
      <c r="C7" s="469" t="s">
        <v>196</v>
      </c>
      <c r="D7" s="462">
        <v>22</v>
      </c>
      <c r="F7" s="486">
        <v>1</v>
      </c>
      <c r="G7" s="14">
        <v>1</v>
      </c>
      <c r="H7" s="484">
        <v>1</v>
      </c>
      <c r="I7" s="390" t="str">
        <f>IF(ISNA(MATCH(G7,$D$7:$D$50,0)),"",INDEX($B$7:$B$50,MATCH(G7,$D$7:$D$50,0)))</f>
        <v>COMBETTE DAVID</v>
      </c>
      <c r="J7" s="7"/>
      <c r="K7" s="194">
        <f>IF(J7&gt;J8,4,0)</f>
        <v>0</v>
      </c>
      <c r="L7" s="194">
        <f t="shared" ref="L7:L12" si="0">+J7</f>
        <v>0</v>
      </c>
      <c r="M7" s="194">
        <f>+J8</f>
        <v>0</v>
      </c>
      <c r="N7" s="194">
        <f>J7-J8</f>
        <v>0</v>
      </c>
      <c r="O7" s="194">
        <f>K7/4</f>
        <v>0</v>
      </c>
      <c r="P7" s="9"/>
      <c r="Q7" s="484">
        <v>7</v>
      </c>
      <c r="R7" s="310" t="str">
        <f>+I11</f>
        <v>COMTE Denis</v>
      </c>
      <c r="S7" s="7"/>
      <c r="T7" s="194">
        <f>IF(S7&gt;S8,4,0)</f>
        <v>0</v>
      </c>
      <c r="U7" s="194">
        <f t="shared" ref="U7:U12" si="1">+S7</f>
        <v>0</v>
      </c>
      <c r="V7" s="194">
        <f>+S8</f>
        <v>0</v>
      </c>
      <c r="W7" s="194">
        <f>S7-S8</f>
        <v>0</v>
      </c>
      <c r="X7" s="194">
        <f>T7/4</f>
        <v>0</v>
      </c>
      <c r="Y7" s="10"/>
      <c r="Z7" s="484">
        <v>3</v>
      </c>
      <c r="AA7" s="391" t="str">
        <f>+R7</f>
        <v>COMTE Denis</v>
      </c>
      <c r="AB7" s="7"/>
      <c r="AC7" s="194">
        <f>IF(AB7&gt;AB8,4,0)</f>
        <v>0</v>
      </c>
      <c r="AD7" s="194">
        <f t="shared" ref="AD7:AD12" si="2">+AB7</f>
        <v>0</v>
      </c>
      <c r="AE7" s="194">
        <f>+AB8</f>
        <v>0</v>
      </c>
      <c r="AF7" s="194">
        <f>AB7-AB8</f>
        <v>0</v>
      </c>
      <c r="AG7" s="194">
        <f>AC7/4</f>
        <v>0</v>
      </c>
      <c r="AI7" s="322" t="str">
        <f>IF(J7&lt;&gt;"",I7," ")</f>
        <v xml:space="preserve"> </v>
      </c>
      <c r="AJ7" s="291">
        <f>SUM(IFERROR(VLOOKUP(AI7,$I$7:$K$12,3,0),0),IFERROR(VLOOKUP(AI7,$R$7:$T$12,3,0),0),IFERROR(VLOOKUP(AI7,$AA$7:$AC$12,3,0),0))</f>
        <v>0</v>
      </c>
      <c r="AK7" s="278">
        <f>SUM(IFERROR(VLOOKUP(AI7,$I$7:$N$12,6,0),0),IFERROR(VLOOKUP(AI7,$R$7:$W$12,6,0),0),IFERROR(VLOOKUP(AI7,$AA$7:$AF$12,6,0),0))</f>
        <v>0</v>
      </c>
      <c r="AL7" s="283">
        <f>SUM(IFERROR(VLOOKUP(AI7,$I$7:$M$12,4,0),0),IFERROR(VLOOKUP(AI7,$R$7:$V$12,4,0),0),IFERROR(VLOOKUP(AI7,$AA$7:$AE$12,4,0),0))</f>
        <v>0</v>
      </c>
      <c r="AM7" s="278">
        <f>SUM(IFERROR(VLOOKUP(AI7,$I$7:$M$12,5,0),0),IFERROR(VLOOKUP(AI7,$R$7:$V$12,5,0),0),IFERROR(VLOOKUP(AI7,$AA$7:$AE$12,5,0),0))</f>
        <v>0</v>
      </c>
      <c r="AO7" s="201">
        <v>0</v>
      </c>
      <c r="AP7" s="2"/>
      <c r="AQ7" s="16">
        <f>IF(OR(AI7="",AJ7=""),"",RANK(AJ7,$AJ$7:$AJ$11)+SUM(-AK7/1000)-(+AL7/10000)-(+AO7/100000)-(-AM7/1000000)+COUNTIF(AI$7:AI$12,"&lt;="&amp;AI7+1)/10000000000+ROW()/100000000000)</f>
        <v>1.00000000007</v>
      </c>
      <c r="AR7" s="17">
        <f>IF(AI7="","",SMALL(AQ$7:AQ$12,ROWS(AJ$7:AJ7)))</f>
        <v>0.99999000011000005</v>
      </c>
      <c r="AS7" s="194"/>
      <c r="AT7" s="206">
        <f>IF(AR7="","",1)</f>
        <v>1</v>
      </c>
      <c r="AU7" s="295" t="str">
        <f>IF(OR(AI7="",AJ7=""),"",INDEX($AI$7:$AI$11,MATCH(AR7,$AQ$7:$AQ$11,0)))</f>
        <v xml:space="preserve"> </v>
      </c>
      <c r="AV7" s="209">
        <f>IF(OR(AI7="",AJ7=""),"",INDEX($AJ$7:$AJ$11,MATCH(AR7,$AQ$7:$AQ$11,0)))</f>
        <v>0</v>
      </c>
      <c r="AW7" s="210">
        <f>IF(OR(AI7="",AK7=""),"",INDEX($AK$7:$AK$11,MATCH(AR7,$AQ$7:$AQ$11,0)))</f>
        <v>0</v>
      </c>
      <c r="AX7" s="209">
        <f>IF(OR(AI7="",AL7=""),"",INDEX($AL$7:$AL$12,MATCH(AR7,$AQ$7:$AQ$12,0)))</f>
        <v>0</v>
      </c>
      <c r="AY7" s="209">
        <f>IF(OR(AI7="",AM7=""),"",INDEX($AM$7:$AM$12,MATCH(AR7,$AQ$7:$AQ$12,0)))</f>
        <v>0</v>
      </c>
      <c r="AZ7" s="211">
        <f>IF(OR(AI7="",AO7=""),"",INDEX($AO$7:$AO$11,MATCH(AR7,$AQ$7:$AQ$11,0)))</f>
        <v>1</v>
      </c>
      <c r="BA7" s="212"/>
      <c r="BB7" s="332" t="str">
        <f>I7</f>
        <v>COMBETTE DAVID</v>
      </c>
      <c r="BC7" s="213">
        <f>SUM(BD7:BF7)</f>
        <v>0</v>
      </c>
      <c r="BD7" s="214" cm="1">
        <f t="array" ref="BD7">IF(OR(I7:I8="OFFICE"),0,IF(J7&gt;J8,1,0))</f>
        <v>0</v>
      </c>
      <c r="BE7" s="215">
        <f t="array" ref="BE7">IF(OR(R9:R10="OFFICE"),0,IF(S9&gt;S10,1,0))</f>
        <v>0</v>
      </c>
      <c r="BF7" s="216">
        <f t="array" ref="BF7">IF(OR(AA11:AA12="OFFICE"),0,IF(AB11&gt;AB12,1,0))</f>
        <v>0</v>
      </c>
    </row>
    <row r="8" spans="1:58" ht="24.95" customHeight="1" thickBot="1">
      <c r="A8" s="565">
        <v>2</v>
      </c>
      <c r="B8" s="571" t="s">
        <v>173</v>
      </c>
      <c r="C8" s="385" t="s">
        <v>116</v>
      </c>
      <c r="D8" s="463">
        <v>11</v>
      </c>
      <c r="F8" s="487"/>
      <c r="G8" s="15">
        <v>25</v>
      </c>
      <c r="H8" s="494"/>
      <c r="I8" s="306" t="str">
        <f>IF(ISNA(MATCH(G8,$D$7:$D$50,0)),"",INDEX($B$7:$B$50,MATCH(G8,$D$7:$D$50,0)))</f>
        <v>BERNARD Jérémy</v>
      </c>
      <c r="J8" s="12"/>
      <c r="K8" s="194">
        <f>IF(J8&gt;J7,4,0)</f>
        <v>0</v>
      </c>
      <c r="L8" s="194">
        <f t="shared" si="0"/>
        <v>0</v>
      </c>
      <c r="M8" s="194">
        <f>+J7</f>
        <v>0</v>
      </c>
      <c r="N8" s="194">
        <f>J8-J7</f>
        <v>0</v>
      </c>
      <c r="O8" s="194">
        <f>K8/4</f>
        <v>0</v>
      </c>
      <c r="P8" s="9"/>
      <c r="Q8" s="494"/>
      <c r="R8" s="311" t="str">
        <f>+I8</f>
        <v>BERNARD Jérémy</v>
      </c>
      <c r="S8" s="12"/>
      <c r="T8" s="194">
        <f>IF(S8&gt;S7,4,0)</f>
        <v>0</v>
      </c>
      <c r="U8" s="194">
        <f t="shared" si="1"/>
        <v>0</v>
      </c>
      <c r="V8" s="194">
        <f>+S7</f>
        <v>0</v>
      </c>
      <c r="W8" s="194">
        <f>S8-S7</f>
        <v>0</v>
      </c>
      <c r="X8" s="194">
        <f>T8/4</f>
        <v>0</v>
      </c>
      <c r="Y8" s="10"/>
      <c r="Z8" s="494"/>
      <c r="AA8" s="317" t="str">
        <f>+R11</f>
        <v>TEIL Gilbert</v>
      </c>
      <c r="AB8" s="12"/>
      <c r="AC8" s="194">
        <f>IF(AB8&gt;AB7,4,0)</f>
        <v>0</v>
      </c>
      <c r="AD8" s="194">
        <f t="shared" si="2"/>
        <v>0</v>
      </c>
      <c r="AE8" s="194">
        <f>+AB7</f>
        <v>0</v>
      </c>
      <c r="AF8" s="194">
        <f>AB8-AB7</f>
        <v>0</v>
      </c>
      <c r="AG8" s="194">
        <f>AC8/4</f>
        <v>0</v>
      </c>
      <c r="AI8" s="323" t="str">
        <f t="shared" ref="AI8:AI11" si="3">IF(J8&lt;&gt;"",I8," ")</f>
        <v xml:space="preserve"> </v>
      </c>
      <c r="AJ8" s="292">
        <f t="shared" ref="AJ8:AJ11" si="4">SUM(IFERROR(VLOOKUP(AI8,$I$7:$K$12,3,0),0),IFERROR(VLOOKUP(AI8,$R$7:$T$12,3,0),0),IFERROR(VLOOKUP(AI8,$AA$7:$AC$12,3,0),0))</f>
        <v>0</v>
      </c>
      <c r="AK8" s="279">
        <f t="shared" ref="AK8:AK11" si="5">SUM(IFERROR(VLOOKUP(AI8,$I$7:$N$12,6,0),0),IFERROR(VLOOKUP(AI8,$R$7:$W$12,6,0),0),IFERROR(VLOOKUP(AI8,$AA$7:$AF$12,6,0),0))</f>
        <v>0</v>
      </c>
      <c r="AL8" s="284">
        <f t="shared" ref="AL8:AL11" si="6">SUM(IFERROR(VLOOKUP(AI8,$I$7:$M$12,4,0),0),IFERROR(VLOOKUP(AI8,$R$7:$V$12,4,0),0),IFERROR(VLOOKUP(AI8,$AA$7:$AE$12,4,0),0))</f>
        <v>0</v>
      </c>
      <c r="AM8" s="279">
        <f t="shared" ref="AM8:AM11" si="7">SUM(IFERROR(VLOOKUP(AI8,$I$7:$M$12,5,0),0),IFERROR(VLOOKUP(AI8,$R$7:$V$12,5,0),0),IFERROR(VLOOKUP(AI8,$AA$7:$AE$12,5,0),0))</f>
        <v>0</v>
      </c>
      <c r="AO8" s="202">
        <v>0</v>
      </c>
      <c r="AP8" s="2"/>
      <c r="AQ8" s="16">
        <f t="shared" ref="AQ8:AQ11" si="8">IF(OR(AI8="",AJ8=""),"",RANK(AJ8,$AJ$7:$AJ$11)+SUM(-AK8/1000)-(+AL8/10000)-(+AO8/100000)-(-AM8/1000000)+COUNTIF(AI$7:AI$12,"&lt;="&amp;AI8+1)/10000000000+ROW()/100000000000)</f>
        <v>1.00000000008</v>
      </c>
      <c r="AR8" s="17">
        <f>IF(AI8="","",SMALL(AQ$7:AQ$12,ROWS(AJ$7:AJ8)))</f>
        <v>1.00000000007</v>
      </c>
      <c r="AS8" s="194"/>
      <c r="AT8" s="208">
        <f>IF(AR8="","",IF(AND(AV7=AV8,AX7=AX8,AY7=AY8,AW8=AW7,AZ7=AZ8),AT7,$AT$7+1))</f>
        <v>2</v>
      </c>
      <c r="AU8" s="296" t="str">
        <f>IF(OR(AI8="",AJ8=""),"",INDEX($AI$7:$AI$11,MATCH(AR8,$AQ$7:$AQ$11,0)))</f>
        <v xml:space="preserve"> </v>
      </c>
      <c r="AV8" s="217">
        <f>IF(OR(AI8="",AJ8=""),"",INDEX($AJ$7:$AJ$11,MATCH(AR8,$AQ$7:$AQ$11,0)))</f>
        <v>0</v>
      </c>
      <c r="AW8" s="210">
        <f t="shared" ref="AW8:AW11" si="9">IF(OR(AI8="",AK8=""),"",INDEX($AK$7:$AK$11,MATCH(AR8,$AQ$7:$AQ$11,0)))</f>
        <v>0</v>
      </c>
      <c r="AX8" s="217">
        <f>IF(OR(AI8="",AL8=""),"",INDEX($AL$7:$AL$12,MATCH(AR8,$AQ$7:$AQ$12,0)))</f>
        <v>0</v>
      </c>
      <c r="AY8" s="217">
        <f>IF(OR(AI8="",AM8=""),"",INDEX($AM$7:$AM$12,MATCH(AR8,$AQ$7:$AQ$12,0)))</f>
        <v>0</v>
      </c>
      <c r="AZ8" s="211">
        <f>IF(OR(AI8="",AO8=""),"",INDEX($AO$7:$AO$11,MATCH(AR8,$AQ$7:$AQ$11,0)))</f>
        <v>0</v>
      </c>
      <c r="BA8" s="212"/>
      <c r="BB8" s="333" t="str">
        <f>+I8</f>
        <v>BERNARD Jérémy</v>
      </c>
      <c r="BC8" s="218">
        <f t="shared" ref="BC8:BC10" si="10">SUM(BD8:BF8)</f>
        <v>0</v>
      </c>
      <c r="BD8" s="219">
        <f t="array" ref="BD8">IF(OR(I7:I8="OFFICE"),0,IF(J8&gt;J7,1,0))</f>
        <v>0</v>
      </c>
      <c r="BE8" s="188" cm="1">
        <f t="array" ref="BE8">IF(OR(R9:R10="OFFICE"),0,IF(S7&lt;S8,1,0))</f>
        <v>0</v>
      </c>
      <c r="BF8" s="220" cm="1">
        <f t="array" ref="BF8">IF(OR(AA9:AA10="OFFICE"),0,IF(AB9&gt;AB10,1,0))</f>
        <v>0</v>
      </c>
    </row>
    <row r="9" spans="1:58" ht="24.95" customHeight="1">
      <c r="A9" s="565">
        <v>3</v>
      </c>
      <c r="B9" s="571" t="s">
        <v>121</v>
      </c>
      <c r="C9" s="394" t="s">
        <v>176</v>
      </c>
      <c r="D9" s="463">
        <v>18</v>
      </c>
      <c r="F9" s="487"/>
      <c r="G9" s="15">
        <v>2</v>
      </c>
      <c r="H9" s="484">
        <v>2</v>
      </c>
      <c r="I9" s="390" t="str">
        <f>IF(ISNA(MATCH(G9,$D$7:$D$50,0)),"",INDEX($B$7:$B$50,MATCH(G9,$D$7:$D$50,0)))</f>
        <v>TEIL Gilbert</v>
      </c>
      <c r="J9" s="7"/>
      <c r="K9" s="194">
        <f>IF(J9&gt;J10,4,0)</f>
        <v>0</v>
      </c>
      <c r="L9" s="194">
        <f t="shared" si="0"/>
        <v>0</v>
      </c>
      <c r="M9" s="194">
        <f>+J10</f>
        <v>0</v>
      </c>
      <c r="N9" s="194">
        <f t="shared" ref="N9:N11" si="11">J9-J10</f>
        <v>0</v>
      </c>
      <c r="O9" s="194">
        <f>K9/4</f>
        <v>0</v>
      </c>
      <c r="P9" s="9"/>
      <c r="Q9" s="484">
        <v>8</v>
      </c>
      <c r="R9" s="391" t="str">
        <f>I7</f>
        <v>COMBETTE DAVID</v>
      </c>
      <c r="S9" s="7"/>
      <c r="T9" s="194">
        <f>IF(S9&gt;S10,4,0)</f>
        <v>0</v>
      </c>
      <c r="U9" s="194">
        <f t="shared" si="1"/>
        <v>0</v>
      </c>
      <c r="V9" s="194">
        <f>+S10</f>
        <v>0</v>
      </c>
      <c r="W9" s="194">
        <f t="shared" ref="W9" si="12">S9-S10</f>
        <v>0</v>
      </c>
      <c r="X9" s="194">
        <f>T9/4</f>
        <v>0</v>
      </c>
      <c r="Y9" s="10"/>
      <c r="Z9" s="484">
        <v>4</v>
      </c>
      <c r="AA9" s="316" t="str">
        <f>+R8</f>
        <v>BERNARD Jérémy</v>
      </c>
      <c r="AB9" s="7"/>
      <c r="AC9" s="194">
        <f>IF(AB9&gt;AB10,4,0)</f>
        <v>0</v>
      </c>
      <c r="AD9" s="194">
        <f t="shared" si="2"/>
        <v>0</v>
      </c>
      <c r="AE9" s="194">
        <f>+AB10</f>
        <v>0</v>
      </c>
      <c r="AF9" s="194">
        <f t="shared" ref="AF9" si="13">AB9-AB10</f>
        <v>0</v>
      </c>
      <c r="AG9" s="194">
        <f>AC9/4</f>
        <v>0</v>
      </c>
      <c r="AI9" s="323" t="str">
        <f t="shared" si="3"/>
        <v xml:space="preserve"> </v>
      </c>
      <c r="AJ9" s="292">
        <f t="shared" si="4"/>
        <v>0</v>
      </c>
      <c r="AK9" s="279">
        <f t="shared" si="5"/>
        <v>0</v>
      </c>
      <c r="AL9" s="284">
        <f t="shared" si="6"/>
        <v>0</v>
      </c>
      <c r="AM9" s="279">
        <f t="shared" si="7"/>
        <v>0</v>
      </c>
      <c r="AO9" s="202">
        <v>0</v>
      </c>
      <c r="AP9" s="2"/>
      <c r="AQ9" s="16">
        <f t="shared" si="8"/>
        <v>1.00000000009</v>
      </c>
      <c r="AR9" s="17">
        <f>IF(AI9="","",SMALL(AQ$7:AQ$12,ROWS(AJ$7:AJ9)))</f>
        <v>1.00000000008</v>
      </c>
      <c r="AS9" s="194"/>
      <c r="AT9" s="208">
        <f>IF(AR9="","",IF(AND(AV8=AV9,AX8=AX9,AY8=AY9,AW9=AW8,AZ8=AZ9),AT8,$AT$7+2))</f>
        <v>2</v>
      </c>
      <c r="AU9" s="296" t="str">
        <f>IF(OR(AI9="",AJ9=""),"",INDEX($AI$7:$AI$11,MATCH(AR9,$AQ$7:$AQ$11,0)))</f>
        <v xml:space="preserve"> </v>
      </c>
      <c r="AV9" s="217">
        <f>IF(OR(AI9="",AJ9=""),"",INDEX($AJ$7:$AJ$11,MATCH(AR9,$AQ$7:$AQ$11,0)))</f>
        <v>0</v>
      </c>
      <c r="AW9" s="210">
        <f t="shared" si="9"/>
        <v>0</v>
      </c>
      <c r="AX9" s="217">
        <f>IF(OR(AI9="",AL9=""),"",INDEX($AL$7:$AL$12,MATCH(AR9,$AQ$7:$AQ$12,0)))</f>
        <v>0</v>
      </c>
      <c r="AY9" s="217">
        <f>IF(OR(AI9="",AM9=""),"",INDEX($AM$7:$AM$12,MATCH(AR9,$AQ$7:$AQ$12,0)))</f>
        <v>0</v>
      </c>
      <c r="AZ9" s="210">
        <f>IF(OR(AI9="",AO9=""),"",INDEX($AO$7:$AO$11,MATCH(AR9,$AQ$7:$AQ$11,0)))</f>
        <v>0</v>
      </c>
      <c r="BA9" s="221"/>
      <c r="BB9" s="333" t="str">
        <f>+I9</f>
        <v>TEIL Gilbert</v>
      </c>
      <c r="BC9" s="218">
        <f t="shared" si="10"/>
        <v>0</v>
      </c>
      <c r="BD9" s="219">
        <f t="array" ref="BD9">IF(OR(I9:I10="OFFICE"),0,IF(J9&gt;J10,1,0))</f>
        <v>0</v>
      </c>
      <c r="BE9" s="188">
        <f t="array" ref="BE9">IF(OR(R11:R12="OFFICE"),0,IF(S11&gt;S12,1,0))</f>
        <v>0</v>
      </c>
      <c r="BF9" s="220">
        <f t="array" ref="BF9">IF(OR(AA7:AA8="OFFICE"),0,IF(AB8&gt;AB7,1,0))</f>
        <v>0</v>
      </c>
    </row>
    <row r="10" spans="1:58" ht="24.95" customHeight="1" thickBot="1">
      <c r="A10" s="565">
        <v>4</v>
      </c>
      <c r="B10" s="570" t="s">
        <v>155</v>
      </c>
      <c r="C10" s="470" t="s">
        <v>137</v>
      </c>
      <c r="D10" s="463">
        <v>13</v>
      </c>
      <c r="F10" s="487"/>
      <c r="G10" s="15">
        <v>26</v>
      </c>
      <c r="H10" s="494"/>
      <c r="I10" s="306" t="str">
        <f>IF(ISNA(MATCH(G10,$D$7:$D$50,0)),"",INDEX($B$7:$B$50,MATCH(G10,$D$7:$D$50,0)))</f>
        <v>JULIAT Eric</v>
      </c>
      <c r="J10" s="11"/>
      <c r="K10" s="194">
        <f>IF(J10&gt;J9,4,0)</f>
        <v>0</v>
      </c>
      <c r="L10" s="194">
        <f t="shared" si="0"/>
        <v>0</v>
      </c>
      <c r="M10" s="194">
        <f>+J9</f>
        <v>0</v>
      </c>
      <c r="N10" s="194">
        <f>J10-J9</f>
        <v>0</v>
      </c>
      <c r="O10" s="194">
        <f>K10/4</f>
        <v>0</v>
      </c>
      <c r="P10" s="9"/>
      <c r="Q10" s="485"/>
      <c r="R10" s="313" t="str">
        <f>+I10</f>
        <v>JULIAT Eric</v>
      </c>
      <c r="S10" s="11"/>
      <c r="T10" s="194">
        <f>IF(S10&gt;S9,4,0)</f>
        <v>0</v>
      </c>
      <c r="U10" s="194">
        <f t="shared" si="1"/>
        <v>0</v>
      </c>
      <c r="V10" s="194">
        <f>+S9</f>
        <v>0</v>
      </c>
      <c r="W10" s="194">
        <f t="shared" ref="W10" si="14">S10-S9</f>
        <v>0</v>
      </c>
      <c r="X10" s="194">
        <f>T10/4</f>
        <v>0</v>
      </c>
      <c r="Y10" s="10"/>
      <c r="Z10" s="485"/>
      <c r="AA10" s="318" t="str">
        <f>+R10</f>
        <v>JULIAT Eric</v>
      </c>
      <c r="AB10" s="12"/>
      <c r="AC10" s="194">
        <f>IF(AB10&gt;AB9,4,0)</f>
        <v>0</v>
      </c>
      <c r="AD10" s="194">
        <f t="shared" si="2"/>
        <v>0</v>
      </c>
      <c r="AE10" s="194">
        <f>+AB9</f>
        <v>0</v>
      </c>
      <c r="AF10" s="194">
        <f t="shared" ref="AF10" si="15">AB10-AB9</f>
        <v>0</v>
      </c>
      <c r="AG10" s="194">
        <f>AC10/4</f>
        <v>0</v>
      </c>
      <c r="AI10" s="323" t="str">
        <f t="shared" si="3"/>
        <v xml:space="preserve"> </v>
      </c>
      <c r="AJ10" s="292">
        <f t="shared" si="4"/>
        <v>0</v>
      </c>
      <c r="AK10" s="279">
        <f t="shared" si="5"/>
        <v>0</v>
      </c>
      <c r="AL10" s="284">
        <f t="shared" si="6"/>
        <v>0</v>
      </c>
      <c r="AM10" s="279">
        <f t="shared" si="7"/>
        <v>0</v>
      </c>
      <c r="AO10" s="202">
        <v>0</v>
      </c>
      <c r="AP10" s="2"/>
      <c r="AQ10" s="16">
        <f t="shared" si="8"/>
        <v>1.0000000001</v>
      </c>
      <c r="AR10" s="17">
        <f>IF(AI10="","",SMALL(AQ$7:AQ$12,ROWS(AJ$7:AJ10)))</f>
        <v>1.00000000009</v>
      </c>
      <c r="AS10" s="194"/>
      <c r="AT10" s="208">
        <f>IF(AR10="","",IF(AND(AV9=AV10,AX9=AX10,AY9=AY10,AW10=AW9,AZ9=AZ10),AT9,$AT$7+3))</f>
        <v>2</v>
      </c>
      <c r="AU10" s="297" t="str">
        <f>IF(OR(AI10="",AJ10=""),"",INDEX($AI$7:$AI$11,MATCH(AR10,$AQ$7:$AQ$11,0)))</f>
        <v xml:space="preserve"> </v>
      </c>
      <c r="AV10" s="222">
        <f>IF(OR(AI10="",AJ10=""),"",INDEX($AJ$7:$AJ$11,MATCH(AR10,$AQ$7:$AQ$11,0)))</f>
        <v>0</v>
      </c>
      <c r="AW10" s="210">
        <f t="shared" si="9"/>
        <v>0</v>
      </c>
      <c r="AX10" s="222">
        <f>IF(OR(AI10="",AL10=""),"",INDEX($AL$7:$AL$12,MATCH(AR10,$AQ$7:$AQ$12,0)))</f>
        <v>0</v>
      </c>
      <c r="AY10" s="222">
        <f>IF(OR(AI10="",AM10=""),"",INDEX($AM$7:$AM$12,MATCH(AR10,$AQ$7:$AQ$12,0)))</f>
        <v>0</v>
      </c>
      <c r="AZ10" s="210">
        <f>IF(OR(AI10="",AO10=""),"",INDEX($AO$7:$AO$11,MATCH(AR10,$AQ$7:$AQ$11,0)))</f>
        <v>0</v>
      </c>
      <c r="BA10" s="221"/>
      <c r="BB10" s="334" t="str">
        <f>+I10</f>
        <v>JULIAT Eric</v>
      </c>
      <c r="BC10" s="223">
        <f t="shared" si="10"/>
        <v>0</v>
      </c>
      <c r="BD10" s="219">
        <f t="array" ref="BD10">IF(OR(I9:I10="OFFICE"),0,IF(J9&lt;J10,1,0))</f>
        <v>0</v>
      </c>
      <c r="BE10" s="224">
        <f t="array" ref="BE10">IF(OR(R9:R10="OFFICE"),0,IF(S9&lt;S10,1,0))</f>
        <v>0</v>
      </c>
      <c r="BF10" s="225" cm="1">
        <f t="array" ref="BF10">IF(OR(AA9:AA10="OFFICE"),0,IF(AB9&lt;AB10,1,0))</f>
        <v>0</v>
      </c>
    </row>
    <row r="11" spans="1:58" ht="24.95" customHeight="1" thickBot="1">
      <c r="A11" s="565">
        <v>5</v>
      </c>
      <c r="B11" s="570" t="s">
        <v>163</v>
      </c>
      <c r="C11" s="471" t="s">
        <v>185</v>
      </c>
      <c r="D11" s="463">
        <v>24</v>
      </c>
      <c r="F11" s="487"/>
      <c r="G11" s="489">
        <v>3</v>
      </c>
      <c r="H11" s="491"/>
      <c r="I11" s="307" t="str">
        <f>IF(ISNA(MATCH(G11,$D$7:$D$50,0)),"",INDEX($B$7:$B$50,MATCH(G11,$D$7:$D$50,0)))</f>
        <v>COMTE Denis</v>
      </c>
      <c r="J11" s="7"/>
      <c r="K11" s="194">
        <f>IF(J11&gt;J12,4,0)</f>
        <v>0</v>
      </c>
      <c r="L11" s="194">
        <f t="shared" si="0"/>
        <v>0</v>
      </c>
      <c r="M11" s="194">
        <f>+J12</f>
        <v>0</v>
      </c>
      <c r="N11" s="194">
        <f t="shared" si="11"/>
        <v>0</v>
      </c>
      <c r="O11" s="195">
        <v>0</v>
      </c>
      <c r="P11" s="9"/>
      <c r="Q11" s="493"/>
      <c r="R11" s="314" t="str">
        <f>+I9</f>
        <v>TEIL Gilbert</v>
      </c>
      <c r="S11" s="7"/>
      <c r="T11" s="194">
        <f>IF(S11&gt;S12,4,0)</f>
        <v>0</v>
      </c>
      <c r="U11" s="194">
        <f t="shared" si="1"/>
        <v>0</v>
      </c>
      <c r="V11" s="194">
        <f>+S12</f>
        <v>0</v>
      </c>
      <c r="W11" s="194">
        <f t="shared" ref="W11" si="16">S11-S12</f>
        <v>0</v>
      </c>
      <c r="X11" s="195">
        <v>0</v>
      </c>
      <c r="Y11" s="10"/>
      <c r="Z11" s="493"/>
      <c r="AA11" s="319" t="str">
        <f>+R9</f>
        <v>COMBETTE DAVID</v>
      </c>
      <c r="AB11" s="7"/>
      <c r="AC11" s="194">
        <f>IF(AB11&gt;AB12,4,0)</f>
        <v>0</v>
      </c>
      <c r="AD11" s="194">
        <f t="shared" si="2"/>
        <v>0</v>
      </c>
      <c r="AE11" s="194">
        <f>+AB12</f>
        <v>0</v>
      </c>
      <c r="AF11" s="194">
        <f t="shared" ref="AF11" si="17">AB11-AB12</f>
        <v>0</v>
      </c>
      <c r="AG11" s="195">
        <v>0</v>
      </c>
      <c r="AI11" s="324" t="str">
        <f t="shared" si="3"/>
        <v xml:space="preserve"> </v>
      </c>
      <c r="AJ11" s="290">
        <f t="shared" si="4"/>
        <v>0</v>
      </c>
      <c r="AK11" s="280">
        <f t="shared" si="5"/>
        <v>0</v>
      </c>
      <c r="AL11" s="285">
        <f t="shared" si="6"/>
        <v>0</v>
      </c>
      <c r="AM11" s="280">
        <f t="shared" si="7"/>
        <v>0</v>
      </c>
      <c r="AO11" s="203">
        <v>1</v>
      </c>
      <c r="AP11" s="2"/>
      <c r="AQ11" s="16">
        <f t="shared" si="8"/>
        <v>0.99999000011000005</v>
      </c>
      <c r="AR11" s="17">
        <f>IF(AI11="","",SMALL(AQ$7:AQ$12,ROWS(AJ$7:AJ11)))</f>
        <v>1.0000000001</v>
      </c>
      <c r="AS11" s="194"/>
      <c r="AT11" s="208">
        <f>IF(AR11="","",IF(AND(AV10=AV11,AX10=AX11,AY10=AY11,AW11=AW10,AZ10=AZ11),AT10,$AT$7+4))</f>
        <v>2</v>
      </c>
      <c r="AU11" s="298" t="str">
        <f>IF(OR(AI11="",AJ11=""),"",INDEX($AI$7:$AI$11,MATCH(AR11,$AQ$7:$AQ$11,0)))</f>
        <v xml:space="preserve"> </v>
      </c>
      <c r="AV11" s="226">
        <f>IF(OR(AI11="",AJ11=""),"",INDEX($AJ$7:$AJ$11,MATCH(AR11,$AQ$7:$AQ$11,0)))</f>
        <v>0</v>
      </c>
      <c r="AW11" s="210">
        <f t="shared" si="9"/>
        <v>0</v>
      </c>
      <c r="AX11" s="226">
        <f>IF(OR(AI11="",AL11=""),"",INDEX($AL$7:$AL$12,MATCH(AR11,$AQ$7:$AQ$12,0)))</f>
        <v>0</v>
      </c>
      <c r="AY11" s="226">
        <f>IF(OR(AI11="",AM11=""),"",INDEX($AM$7:$AM$12,MATCH(AR11,$AQ$7:$AQ$12,0)))</f>
        <v>0</v>
      </c>
      <c r="AZ11" s="210">
        <f>IF(OR(AI11="",AO11=""),"",INDEX($AO$7:$AO$11,MATCH(AR11,$AQ$7:$AQ$11,0)))</f>
        <v>0</v>
      </c>
      <c r="BA11" s="221"/>
      <c r="BB11" s="335" t="str">
        <f>+I11</f>
        <v>COMTE Denis</v>
      </c>
      <c r="BC11" s="227">
        <f t="shared" ref="BC11" si="18">SUM(BD11:BF11)</f>
        <v>0</v>
      </c>
      <c r="BD11" s="228">
        <f t="array" ref="BD11">IF(OR(I11:I12="OFFICE"),0,IF(J11&gt;J12,1,0))</f>
        <v>0</v>
      </c>
      <c r="BE11" s="229">
        <f t="array" ref="BE11">IF(OR(R7:R8="OFFICE"),0,IF(S7&gt;S8,1,0))</f>
        <v>0</v>
      </c>
      <c r="BF11" s="230">
        <f t="array" ref="BF11">IF(OR(AA7:AA8="OFFICE"),0,IF(AB7&gt;AB8,1,0))</f>
        <v>0</v>
      </c>
    </row>
    <row r="12" spans="1:58" s="10" customFormat="1" ht="24.95" customHeight="1" thickBot="1">
      <c r="A12" s="565">
        <v>6</v>
      </c>
      <c r="B12" s="570" t="s">
        <v>153</v>
      </c>
      <c r="C12" s="471" t="s">
        <v>193</v>
      </c>
      <c r="D12" s="463">
        <v>10</v>
      </c>
      <c r="F12" s="488"/>
      <c r="G12" s="490"/>
      <c r="H12" s="492"/>
      <c r="I12" s="308" t="s">
        <v>82</v>
      </c>
      <c r="J12" s="12"/>
      <c r="K12" s="196">
        <f>IF(J12&gt;J11,4,0)</f>
        <v>0</v>
      </c>
      <c r="L12" s="197">
        <f t="shared" si="0"/>
        <v>0</v>
      </c>
      <c r="M12" s="197">
        <f>+J11</f>
        <v>0</v>
      </c>
      <c r="N12" s="197">
        <f>J12-J11</f>
        <v>0</v>
      </c>
      <c r="O12" s="197"/>
      <c r="P12" s="192"/>
      <c r="Q12" s="492"/>
      <c r="R12" s="309" t="s">
        <v>82</v>
      </c>
      <c r="S12" s="12"/>
      <c r="T12" s="199">
        <v>0</v>
      </c>
      <c r="U12" s="197">
        <f t="shared" si="1"/>
        <v>0</v>
      </c>
      <c r="V12" s="197">
        <f>+S11</f>
        <v>0</v>
      </c>
      <c r="W12" s="197">
        <f t="shared" ref="W12" si="19">S12-S11</f>
        <v>0</v>
      </c>
      <c r="X12" s="197"/>
      <c r="Y12" s="192"/>
      <c r="Z12" s="492"/>
      <c r="AA12" s="320" t="s">
        <v>82</v>
      </c>
      <c r="AB12" s="12"/>
      <c r="AC12" s="199">
        <v>0</v>
      </c>
      <c r="AD12" s="197">
        <f t="shared" si="2"/>
        <v>0</v>
      </c>
      <c r="AE12" s="197">
        <f>+AB11</f>
        <v>0</v>
      </c>
      <c r="AF12" s="197">
        <f t="shared" ref="AF12" si="20">AB12-AB11</f>
        <v>0</v>
      </c>
      <c r="AG12" s="197"/>
      <c r="AH12"/>
      <c r="AI12" s="325"/>
      <c r="AJ12" s="287"/>
      <c r="AK12" s="287">
        <f>SUM(AK7:AK11)</f>
        <v>0</v>
      </c>
      <c r="AL12" s="287">
        <f>SUM(AL7:AL11)</f>
        <v>0</v>
      </c>
      <c r="AM12" s="281">
        <f>SUM(AM7:AM11)</f>
        <v>0</v>
      </c>
      <c r="AN12"/>
      <c r="AO12" s="205"/>
      <c r="AP12" s="42"/>
      <c r="AQ12" s="16" t="str">
        <f t="shared" ref="AQ12:AQ24" si="21">IF(OR(AI12="",AJ12=""),"",RANK(AJ12,$AJ$7:$AJ$11)+SUM(-AO12/100)-(+AK12/10000)-(+AL12/100000)-(-AM12/1000000)+COUNTIF(AI$7:AI$30,"&lt;="&amp;AI12+1)/1000000000+ROW()/10000000000)</f>
        <v/>
      </c>
      <c r="AR12" s="204"/>
      <c r="AS12" s="204"/>
      <c r="AT12" s="197"/>
      <c r="AU12" s="204"/>
      <c r="AV12" s="204"/>
      <c r="AW12" s="231"/>
      <c r="AX12" s="204"/>
      <c r="AY12" s="204"/>
      <c r="AZ12" s="221"/>
      <c r="BA12" s="221"/>
      <c r="BB12" s="336"/>
      <c r="BC12" s="232">
        <f>SUM(BC7:BC11)</f>
        <v>0</v>
      </c>
      <c r="BD12" s="232">
        <f>SUM(BD7:BD11)</f>
        <v>0</v>
      </c>
      <c r="BE12" s="232">
        <f>SUM(BE7:BE11)</f>
        <v>0</v>
      </c>
      <c r="BF12" s="232">
        <f>SUM(BF7:BF11)</f>
        <v>0</v>
      </c>
    </row>
    <row r="13" spans="1:58" s="10" customFormat="1" ht="24.95" customHeight="1">
      <c r="A13" s="565">
        <v>7</v>
      </c>
      <c r="B13" s="571" t="s">
        <v>179</v>
      </c>
      <c r="C13" s="382" t="s">
        <v>130</v>
      </c>
      <c r="D13" s="463">
        <v>4</v>
      </c>
      <c r="F13" s="486">
        <v>2</v>
      </c>
      <c r="G13" s="14">
        <v>4</v>
      </c>
      <c r="H13" s="484">
        <v>3</v>
      </c>
      <c r="I13" s="390" t="str">
        <f>IF(ISNA(MATCH(G13,$D$7:$D$50,0)),"",INDEX($B$7:$B$50,MATCH(G13,$D$7:$D$50,0)))</f>
        <v>CHIROL antoine</v>
      </c>
      <c r="J13" s="7"/>
      <c r="K13" s="194">
        <f>IF(J13&gt;J14,4,0)</f>
        <v>0</v>
      </c>
      <c r="L13" s="194">
        <f t="shared" ref="L13:L30" si="22">+J13</f>
        <v>0</v>
      </c>
      <c r="M13" s="194">
        <f>+J14</f>
        <v>0</v>
      </c>
      <c r="N13" s="194">
        <f>J13-J14</f>
        <v>0</v>
      </c>
      <c r="O13" s="194">
        <f>K13/4</f>
        <v>0</v>
      </c>
      <c r="P13" s="9"/>
      <c r="Q13" s="484">
        <v>1</v>
      </c>
      <c r="R13" s="310" t="str">
        <f>+I17</f>
        <v>PLANTIER Pierre</v>
      </c>
      <c r="S13" s="7"/>
      <c r="T13" s="194">
        <f>IF(S13&gt;S14,4,0)</f>
        <v>0</v>
      </c>
      <c r="U13" s="194">
        <f t="shared" ref="U13:U30" si="23">+S13</f>
        <v>0</v>
      </c>
      <c r="V13" s="194">
        <f>+S14</f>
        <v>0</v>
      </c>
      <c r="W13" s="194">
        <f>S13-S14</f>
        <v>0</v>
      </c>
      <c r="X13" s="194">
        <f>T13/4</f>
        <v>0</v>
      </c>
      <c r="Z13" s="484">
        <v>5</v>
      </c>
      <c r="AA13" s="391" t="str">
        <f>+R13</f>
        <v>PLANTIER Pierre</v>
      </c>
      <c r="AB13" s="7"/>
      <c r="AC13" s="194">
        <f>IF(AB13&gt;AB14,4,0)</f>
        <v>0</v>
      </c>
      <c r="AD13" s="194">
        <f t="shared" ref="AD13:AD30" si="24">+AB13</f>
        <v>0</v>
      </c>
      <c r="AE13" s="194">
        <f>+AB14</f>
        <v>0</v>
      </c>
      <c r="AF13" s="194">
        <f>AB13-AB14</f>
        <v>0</v>
      </c>
      <c r="AG13" s="194">
        <f>AC13/4</f>
        <v>0</v>
      </c>
      <c r="AH13"/>
      <c r="AI13" s="322" t="str">
        <f>IF(J13&lt;&gt;"",I13," ")</f>
        <v xml:space="preserve"> </v>
      </c>
      <c r="AJ13" s="291">
        <f>SUM(IFERROR(VLOOKUP(AI13,$I$13:$K$18,3,0),0),IFERROR(VLOOKUP(AI13,$R$13:$T$18,3,0),0),IFERROR(VLOOKUP(AI13,$AA$13:$AC$18,3,0),0))</f>
        <v>0</v>
      </c>
      <c r="AK13" s="278">
        <f>SUM(IFERROR(VLOOKUP(AI13,$I$13:$N$18,6,0),0),IFERROR(VLOOKUP(AI13,$R$13:$W$18,6,0),0),IFERROR(VLOOKUP(AI13,$AA$13:$AF$18,6,0),0))</f>
        <v>0</v>
      </c>
      <c r="AL13" s="283">
        <f>SUM(IFERROR(VLOOKUP(AI13,$I$13:$M$18,4,0),0),IFERROR(VLOOKUP(AI13,$R$13:$V$18,4,0),0),IFERROR(VLOOKUP(AI13,$AA$13:$AE$18,4,0),0))</f>
        <v>0</v>
      </c>
      <c r="AM13" s="278">
        <f>SUM(IFERROR(VLOOKUP(AI13,$I$13:$M$18,5,0),0),IFERROR(VLOOKUP(AI13,$R$13:$V$18,5,0),0),IFERROR(VLOOKUP(AI13,$AA$13:$AE$18,5,0),0))</f>
        <v>0</v>
      </c>
      <c r="AN13"/>
      <c r="AO13" s="207">
        <v>0</v>
      </c>
      <c r="AP13" s="2"/>
      <c r="AQ13" s="16">
        <f>IF(OR(AI13="",AJ13=""),"",RANK(AJ13,$AJ$13:$AJ$17)+SUM(-AK13/1000)-(+AL13/10000)-(+AO13/100000)-(-AM13/1000000)+COUNTIF(AI$13:AI$17,"&lt;="&amp;AI13+1)/10000000000+ROW()/100000000000)</f>
        <v>1.00000000013</v>
      </c>
      <c r="AR13" s="41">
        <f>IF(AI13="","",SMALL(AQ$13:AQ$18,ROWS(AJ$13:AJ13)))</f>
        <v>0.99999000017000006</v>
      </c>
      <c r="AS13" s="194"/>
      <c r="AT13" s="206">
        <f>IF(AR13="","",1)</f>
        <v>1</v>
      </c>
      <c r="AU13" s="299" t="str">
        <f>IF(OR(AI13="",AJ13=""),"",INDEX($AI$13:$AI$18,MATCH(AR13,$AQ$13:$AQ$18,0)))</f>
        <v xml:space="preserve"> </v>
      </c>
      <c r="AV13" s="209">
        <f>IF(OR(AI13="",AJ13=""),"",INDEX($AJ$13:$AJ$18,MATCH(AR13,$AQ$13:$AQ$18,0)))</f>
        <v>0</v>
      </c>
      <c r="AW13" s="210">
        <f>IF(OR(AI13="",AK13=""),"",INDEX($AK$13:$AK$18,MATCH(AR13,$AQ$13:$AQ$18,0)))</f>
        <v>0</v>
      </c>
      <c r="AX13" s="233">
        <f>IF(OR(AI13="",AL13=""),"",INDEX($AL$13:$AL$18,MATCH(AR13,$AQ$13:$AQ$18,0)))</f>
        <v>0</v>
      </c>
      <c r="AY13" s="209">
        <f>IF(OR(AI13="",AM13=""),"",INDEX($AM$13:$AM$18,MATCH(AR13,$AQ$13:$AQ$18,0)))</f>
        <v>0</v>
      </c>
      <c r="AZ13" s="210">
        <f>IF(OR(AI13="",AO13=""),"",INDEX($AO$13:$AO$17,MATCH(AR13,$AQ$13:$AQ$17,0)))</f>
        <v>1</v>
      </c>
      <c r="BA13" s="212"/>
      <c r="BB13" s="332" t="str">
        <f>I13</f>
        <v>CHIROL antoine</v>
      </c>
      <c r="BC13" s="213">
        <f>SUM(BD13:BF13)</f>
        <v>0</v>
      </c>
      <c r="BD13" s="214">
        <f t="array" ref="BD13">IF(OR(I13:I14="OFFICE"),0,IF(J13&gt;J14,1,0))</f>
        <v>0</v>
      </c>
      <c r="BE13" s="215">
        <f t="array" ref="BE13">IF(OR(R15:R16="OFFICE"),0,IF(S15&gt;S16,1,0))</f>
        <v>0</v>
      </c>
      <c r="BF13" s="216">
        <f t="array" ref="BF13">IF(OR(AA17:AA18="OFFICE"),0,IF(AB17&gt;AB18,1,0))</f>
        <v>0</v>
      </c>
    </row>
    <row r="14" spans="1:58" s="10" customFormat="1" ht="24.95" customHeight="1" thickBot="1">
      <c r="A14" s="565">
        <v>8</v>
      </c>
      <c r="B14" s="571" t="s">
        <v>120</v>
      </c>
      <c r="C14" s="388" t="s">
        <v>119</v>
      </c>
      <c r="D14" s="463">
        <v>19</v>
      </c>
      <c r="F14" s="487"/>
      <c r="G14" s="15">
        <v>27</v>
      </c>
      <c r="H14" s="494"/>
      <c r="I14" s="306" t="str">
        <f>IF(ISNA(MATCH(G14,$D$7:$D$50,0)),"",INDEX($B$7:$B$50,MATCH(G14,$D$7:$D$50,0)))</f>
        <v>VASCHALDE GUY</v>
      </c>
      <c r="J14" s="12"/>
      <c r="K14" s="194">
        <f>IF(J14&gt;J13,4,0)</f>
        <v>0</v>
      </c>
      <c r="L14" s="194">
        <f t="shared" si="22"/>
        <v>0</v>
      </c>
      <c r="M14" s="194">
        <f>+J13</f>
        <v>0</v>
      </c>
      <c r="N14" s="194">
        <f>J14-J13</f>
        <v>0</v>
      </c>
      <c r="O14" s="194">
        <f>K14/4</f>
        <v>0</v>
      </c>
      <c r="P14" s="9"/>
      <c r="Q14" s="494"/>
      <c r="R14" s="311" t="str">
        <f>+I14</f>
        <v>VASCHALDE GUY</v>
      </c>
      <c r="S14" s="12"/>
      <c r="T14" s="194">
        <f>IF(S14&gt;S13,4,0)</f>
        <v>0</v>
      </c>
      <c r="U14" s="194">
        <f t="shared" si="23"/>
        <v>0</v>
      </c>
      <c r="V14" s="194">
        <f>+S13</f>
        <v>0</v>
      </c>
      <c r="W14" s="194">
        <f>S14-S13</f>
        <v>0</v>
      </c>
      <c r="X14" s="194">
        <f>T14/4</f>
        <v>0</v>
      </c>
      <c r="Z14" s="494"/>
      <c r="AA14" s="317" t="str">
        <f>+R17</f>
        <v>GINESTE Thierry</v>
      </c>
      <c r="AB14" s="12"/>
      <c r="AC14" s="194">
        <f>IF(AB14&gt;AB13,4,0)</f>
        <v>0</v>
      </c>
      <c r="AD14" s="194">
        <f t="shared" si="24"/>
        <v>0</v>
      </c>
      <c r="AE14" s="194">
        <f>+AB13</f>
        <v>0</v>
      </c>
      <c r="AF14" s="194">
        <f>AB14-AB13</f>
        <v>0</v>
      </c>
      <c r="AG14" s="194">
        <f>AC14/4</f>
        <v>0</v>
      </c>
      <c r="AH14"/>
      <c r="AI14" s="323" t="str">
        <f t="shared" ref="AI14:AI17" si="25">IF(J14&lt;&gt;"",I14," ")</f>
        <v xml:space="preserve"> </v>
      </c>
      <c r="AJ14" s="292">
        <f t="shared" ref="AJ14:AJ17" si="26">SUM(IFERROR(VLOOKUP(AI14,$I$13:$K$18,3,0),0),IFERROR(VLOOKUP(AI14,$R$13:$T$18,3,0),0),IFERROR(VLOOKUP(AI14,$AA$13:$AC$18,3,0),0))</f>
        <v>0</v>
      </c>
      <c r="AK14" s="279">
        <f t="shared" ref="AK14:AK17" si="27">SUM(IFERROR(VLOOKUP(AI14,$I$13:$N$18,6,0),0),IFERROR(VLOOKUP(AI14,$R$13:$W$18,6,0),0),IFERROR(VLOOKUP(AI14,$AA$13:$AF$18,6,0),0))</f>
        <v>0</v>
      </c>
      <c r="AL14" s="284">
        <f t="shared" ref="AL14:AL17" si="28">SUM(IFERROR(VLOOKUP(AI14,$I$13:$M$18,4,0),0),IFERROR(VLOOKUP(AI14,$R$13:$V$18,4,0),0),IFERROR(VLOOKUP(AI14,$AA$13:$AE$18,4,0),0))</f>
        <v>0</v>
      </c>
      <c r="AM14" s="279">
        <f t="shared" ref="AM14:AM17" si="29">SUM(IFERROR(VLOOKUP(AI14,$I$13:$M$18,5,0),0),IFERROR(VLOOKUP(AI14,$R$13:$V$18,5,0),0),IFERROR(VLOOKUP(AI14,$AA$13:$AE$18,5,0),0))</f>
        <v>0</v>
      </c>
      <c r="AN14"/>
      <c r="AO14" s="202">
        <v>0</v>
      </c>
      <c r="AP14" s="2"/>
      <c r="AQ14" s="16">
        <f t="shared" ref="AQ14:AQ17" si="30">IF(OR(AI14="",AJ14=""),"",RANK(AJ14,$AJ$13:$AJ$17)+SUM(-AK14/1000)-(+AL14/10000)-(+AO14/100000)-(-AM14/1000000)+COUNTIF(AI$13:AI$17,"&lt;="&amp;AI14+1)/10000000000+ROW()/100000000000)</f>
        <v>1.00000000014</v>
      </c>
      <c r="AR14" s="17">
        <f>IF(AI14="","",SMALL(AQ$13:AQ$18,ROWS(AJ$13:AJ14)))</f>
        <v>1.00000000013</v>
      </c>
      <c r="AS14" s="194"/>
      <c r="AT14" s="208">
        <f>IF(AR14="","",IF(AND(AV13=AV14,AX13=AX14,AY13=AY14,AW14=AW13,AZ14=AZ13),AT13,$AT$7+1))</f>
        <v>2</v>
      </c>
      <c r="AU14" s="300" t="str">
        <f>IF(OR(AI14="",AJ14=""),"",INDEX($AI$13:$AI$18,MATCH(AR14,$AQ$13:$AQ$18,0)))</f>
        <v xml:space="preserve"> </v>
      </c>
      <c r="AV14" s="217">
        <f>IF(OR(AI14="",AJ14=""),"",INDEX($AJ$13:$AJ$18,MATCH(AR14,$AQ$13:$AQ$18,0)))</f>
        <v>0</v>
      </c>
      <c r="AW14" s="210">
        <f t="shared" ref="AW14:AW17" si="31">IF(OR(AI14="",AK14=""),"",INDEX($AK$13:$AK$18,MATCH(AR14,$AQ$13:$AQ$18,0)))</f>
        <v>0</v>
      </c>
      <c r="AX14" s="234">
        <f>IF(OR(AI14="",AL14=""),"",INDEX($AL$13:$AL$18,MATCH(AR14,$AQ$13:$AQ$18,0)))</f>
        <v>0</v>
      </c>
      <c r="AY14" s="217">
        <f>IF(OR(AI14="",AM14=""),"",INDEX($AM$13:$AM$18,MATCH(AR14,$AQ$13:$AQ$18,0)))</f>
        <v>0</v>
      </c>
      <c r="AZ14" s="210">
        <f t="shared" ref="AZ14:AZ17" si="32">IF(OR(AI14="",AO14=""),"",INDEX($AO$13:$AO$17,MATCH(AR14,$AQ$13:$AQ$17,0)))</f>
        <v>0</v>
      </c>
      <c r="BA14" s="212"/>
      <c r="BB14" s="333" t="str">
        <f>+I14</f>
        <v>VASCHALDE GUY</v>
      </c>
      <c r="BC14" s="218">
        <f t="shared" ref="BC14:BC17" si="33">SUM(BD14:BF14)</f>
        <v>0</v>
      </c>
      <c r="BD14" s="219">
        <f t="array" ref="BD14">IF(OR(I13:I14="OFFICE"),0,IF(J14&gt;J13,1,0))</f>
        <v>0</v>
      </c>
      <c r="BE14" s="188">
        <f t="array" ref="BE14">IF(OR(R13:R14="OFFICE"),0,IF(S13&lt;S14,1,0))</f>
        <v>0</v>
      </c>
      <c r="BF14" s="220">
        <f t="array" ref="BF14">IF(OR(AA15:AA16="OFFICE"),0,IF(AB16&lt;AB15,1,0))</f>
        <v>0</v>
      </c>
    </row>
    <row r="15" spans="1:58" s="10" customFormat="1" ht="24.95" customHeight="1">
      <c r="A15" s="565">
        <v>9</v>
      </c>
      <c r="B15" s="571" t="s">
        <v>148</v>
      </c>
      <c r="C15" s="383" t="s">
        <v>180</v>
      </c>
      <c r="D15" s="463">
        <v>1</v>
      </c>
      <c r="F15" s="487"/>
      <c r="G15" s="15">
        <v>5</v>
      </c>
      <c r="H15" s="484">
        <v>4</v>
      </c>
      <c r="I15" s="390" t="str">
        <f>IF(ISNA(MATCH(G15,$D$7:$D$50,0)),"",INDEX($B$7:$B$50,MATCH(G15,$D$7:$D$50,0)))</f>
        <v>GINESTE Thierry</v>
      </c>
      <c r="J15" s="7"/>
      <c r="K15" s="194">
        <f>IF(J15&gt;J16,4,0)</f>
        <v>0</v>
      </c>
      <c r="L15" s="194">
        <f t="shared" si="22"/>
        <v>0</v>
      </c>
      <c r="M15" s="194">
        <f>+J16</f>
        <v>0</v>
      </c>
      <c r="N15" s="194">
        <f t="shared" ref="N15" si="34">J15-J16</f>
        <v>0</v>
      </c>
      <c r="O15" s="194">
        <f>K15/4</f>
        <v>0</v>
      </c>
      <c r="P15" s="9"/>
      <c r="Q15" s="484">
        <v>2</v>
      </c>
      <c r="R15" s="391" t="str">
        <f>+I13</f>
        <v>CHIROL antoine</v>
      </c>
      <c r="S15" s="7"/>
      <c r="T15" s="194">
        <f>IF(S15&gt;S16,4,0)</f>
        <v>0</v>
      </c>
      <c r="U15" s="194">
        <f t="shared" si="23"/>
        <v>0</v>
      </c>
      <c r="V15" s="194">
        <f>+S16</f>
        <v>0</v>
      </c>
      <c r="W15" s="194">
        <f t="shared" ref="W15" si="35">S15-S16</f>
        <v>0</v>
      </c>
      <c r="X15" s="194">
        <f>T15/4</f>
        <v>0</v>
      </c>
      <c r="Z15" s="484">
        <v>6</v>
      </c>
      <c r="AA15" s="316" t="str">
        <f>+R14</f>
        <v>VASCHALDE GUY</v>
      </c>
      <c r="AB15" s="7"/>
      <c r="AC15" s="194">
        <f>IF(AB15&gt;AB16,4,0)</f>
        <v>0</v>
      </c>
      <c r="AD15" s="194">
        <f t="shared" si="24"/>
        <v>0</v>
      </c>
      <c r="AE15" s="194">
        <f>+AB16</f>
        <v>0</v>
      </c>
      <c r="AF15" s="194">
        <f t="shared" ref="AF15" si="36">AB15-AB16</f>
        <v>0</v>
      </c>
      <c r="AG15" s="194">
        <f>AC15/4</f>
        <v>0</v>
      </c>
      <c r="AH15"/>
      <c r="AI15" s="323" t="str">
        <f t="shared" si="25"/>
        <v xml:space="preserve"> </v>
      </c>
      <c r="AJ15" s="292">
        <f t="shared" si="26"/>
        <v>0</v>
      </c>
      <c r="AK15" s="279">
        <f t="shared" si="27"/>
        <v>0</v>
      </c>
      <c r="AL15" s="284">
        <f t="shared" si="28"/>
        <v>0</v>
      </c>
      <c r="AM15" s="279">
        <f t="shared" si="29"/>
        <v>0</v>
      </c>
      <c r="AN15"/>
      <c r="AO15" s="202">
        <v>0</v>
      </c>
      <c r="AP15" s="2"/>
      <c r="AQ15" s="16">
        <f t="shared" si="30"/>
        <v>1.00000000015</v>
      </c>
      <c r="AR15" s="17">
        <f>IF(AI15="","",SMALL(AQ$13:AQ$18,ROWS(AJ$13:AJ15)))</f>
        <v>1.00000000014</v>
      </c>
      <c r="AS15" s="194"/>
      <c r="AT15" s="208">
        <f>IF(AR15="","",IF(AND(AV14=AV15,AX14=AX15,AY14=AY15,AW15=AW14,AZ15=AZ14),AT14,$AT$7+2))</f>
        <v>2</v>
      </c>
      <c r="AU15" s="300" t="str">
        <f>IF(OR(AI15="",AJ15=""),"",INDEX($AI$13:$AI$18,MATCH(AR15,$AQ$13:$AQ$18,0)))</f>
        <v xml:space="preserve"> </v>
      </c>
      <c r="AV15" s="217">
        <f>IF(OR(AI15="",AJ15=""),"",INDEX($AJ$13:$AJ$18,MATCH(AR15,$AQ$13:$AQ$18,0)))</f>
        <v>0</v>
      </c>
      <c r="AW15" s="210">
        <f t="shared" si="31"/>
        <v>0</v>
      </c>
      <c r="AX15" s="234">
        <f>IF(OR(AI15="",AL15=""),"",INDEX($AL$13:$AL$18,MATCH(AR15,$AQ$13:$AQ$18,0)))</f>
        <v>0</v>
      </c>
      <c r="AY15" s="217">
        <f>IF(OR(AI15="",AM15=""),"",INDEX($AM$13:$AM$18,MATCH(AR15,$AQ$13:$AQ$18,0)))</f>
        <v>0</v>
      </c>
      <c r="AZ15" s="210">
        <f t="shared" si="32"/>
        <v>0</v>
      </c>
      <c r="BA15" s="212"/>
      <c r="BB15" s="333" t="str">
        <f>+I15</f>
        <v>GINESTE Thierry</v>
      </c>
      <c r="BC15" s="218">
        <f t="shared" si="33"/>
        <v>0</v>
      </c>
      <c r="BD15" s="219">
        <f t="array" ref="BD15">IF(OR(I15:I16="OFFICE"),0,IF(J15&gt;J16,1,0))</f>
        <v>0</v>
      </c>
      <c r="BE15" s="188">
        <f t="array" ref="BE15">IF(OR(R17:R18="OFFICE"),0,IF(S17&gt;S18,1,0))</f>
        <v>0</v>
      </c>
      <c r="BF15" s="220">
        <f t="array" ref="BF15">IF(OR(AA13:AA14="OFFICE"),0,IF(AB14&gt;AB13,1,0))</f>
        <v>0</v>
      </c>
    </row>
    <row r="16" spans="1:58" s="10" customFormat="1" ht="24.95" customHeight="1" thickBot="1">
      <c r="A16" s="565">
        <v>10</v>
      </c>
      <c r="B16" s="572" t="s">
        <v>138</v>
      </c>
      <c r="C16" s="472" t="s">
        <v>184</v>
      </c>
      <c r="D16" s="463">
        <v>3</v>
      </c>
      <c r="F16" s="487"/>
      <c r="G16" s="15">
        <v>28</v>
      </c>
      <c r="H16" s="494"/>
      <c r="I16" s="306" t="str">
        <f>IF(ISNA(MATCH(G16,$D$7:$D$50,0)),"",INDEX($B$7:$B$50,MATCH(G16,$D$7:$D$50,0)))</f>
        <v xml:space="preserve">VERSINO Fabien </v>
      </c>
      <c r="J16" s="11"/>
      <c r="K16" s="194">
        <f>IF(J16&gt;J15,4,0)</f>
        <v>0</v>
      </c>
      <c r="L16" s="194">
        <f t="shared" si="22"/>
        <v>0</v>
      </c>
      <c r="M16" s="194">
        <f>+J15</f>
        <v>0</v>
      </c>
      <c r="N16" s="194">
        <f>J16-J15</f>
        <v>0</v>
      </c>
      <c r="O16" s="194">
        <f>K16/4</f>
        <v>0</v>
      </c>
      <c r="P16" s="9"/>
      <c r="Q16" s="485"/>
      <c r="R16" s="313" t="str">
        <f>+I16</f>
        <v xml:space="preserve">VERSINO Fabien </v>
      </c>
      <c r="S16" s="11"/>
      <c r="T16" s="194">
        <f>IF(S16&gt;S15,4,0)</f>
        <v>0</v>
      </c>
      <c r="U16" s="194">
        <f t="shared" si="23"/>
        <v>0</v>
      </c>
      <c r="V16" s="194">
        <f>+S15</f>
        <v>0</v>
      </c>
      <c r="W16" s="194">
        <f t="shared" ref="W16" si="37">S16-S15</f>
        <v>0</v>
      </c>
      <c r="X16" s="194">
        <f>T16/4</f>
        <v>0</v>
      </c>
      <c r="Z16" s="485"/>
      <c r="AA16" s="318" t="str">
        <f>+R16</f>
        <v xml:space="preserve">VERSINO Fabien </v>
      </c>
      <c r="AB16" s="12"/>
      <c r="AC16" s="194">
        <f>IF(AB16&gt;AB15,4,0)</f>
        <v>0</v>
      </c>
      <c r="AD16" s="194">
        <f t="shared" si="24"/>
        <v>0</v>
      </c>
      <c r="AE16" s="194">
        <f>+AB15</f>
        <v>0</v>
      </c>
      <c r="AF16" s="194">
        <f t="shared" ref="AF16" si="38">AB16-AB15</f>
        <v>0</v>
      </c>
      <c r="AG16" s="194">
        <f>AC16/4</f>
        <v>0</v>
      </c>
      <c r="AH16"/>
      <c r="AI16" s="323" t="str">
        <f t="shared" si="25"/>
        <v xml:space="preserve"> </v>
      </c>
      <c r="AJ16" s="292">
        <f t="shared" si="26"/>
        <v>0</v>
      </c>
      <c r="AK16" s="279">
        <f t="shared" si="27"/>
        <v>0</v>
      </c>
      <c r="AL16" s="284">
        <f t="shared" si="28"/>
        <v>0</v>
      </c>
      <c r="AM16" s="279">
        <f t="shared" si="29"/>
        <v>0</v>
      </c>
      <c r="AN16"/>
      <c r="AO16" s="202">
        <v>0</v>
      </c>
      <c r="AP16" s="2"/>
      <c r="AQ16" s="16">
        <f t="shared" si="30"/>
        <v>1.00000000016</v>
      </c>
      <c r="AR16" s="17">
        <f>IF(AI16="","",SMALL(AQ$13:AQ$18,ROWS(AJ$13:AJ16)))</f>
        <v>1.00000000015</v>
      </c>
      <c r="AS16" s="194"/>
      <c r="AT16" s="208">
        <f>IF(AR16="","",IF(AND(AV15=AV16,AX15=AX16,AY15=AY16,AW16=AW15,AZ16=AZ15),AT15,$AT$7+3))</f>
        <v>2</v>
      </c>
      <c r="AU16" s="301" t="str">
        <f>IF(OR(AI16="",AJ16=""),"",INDEX($AI$13:$AI$18,MATCH(AR16,$AQ$13:$AQ$18,0)))</f>
        <v xml:space="preserve"> </v>
      </c>
      <c r="AV16" s="222">
        <f>IF(OR(AI16="",AJ16=""),"",INDEX($AJ$13:$AJ$18,MATCH(AR16,$AQ$13:$AQ$18,0)))</f>
        <v>0</v>
      </c>
      <c r="AW16" s="210">
        <f t="shared" si="31"/>
        <v>0</v>
      </c>
      <c r="AX16" s="235">
        <f>IF(OR(AI16="",AL16=""),"",INDEX($AL$13:$AL$18,MATCH(AR16,$AQ$13:$AQ$18,0)))</f>
        <v>0</v>
      </c>
      <c r="AY16" s="222">
        <f>IF(OR(AI16="",AM16=""),"",INDEX($AM$13:$AM$18,MATCH(AR16,$AQ$13:$AQ$18,0)))</f>
        <v>0</v>
      </c>
      <c r="AZ16" s="210">
        <f t="shared" si="32"/>
        <v>0</v>
      </c>
      <c r="BA16" s="212"/>
      <c r="BB16" s="334" t="str">
        <f>+I16</f>
        <v xml:space="preserve">VERSINO Fabien </v>
      </c>
      <c r="BC16" s="223">
        <f t="shared" si="33"/>
        <v>0</v>
      </c>
      <c r="BD16" s="219">
        <f t="array" ref="BD16">IF(OR(I15:I16="OFFICE"),0,IF(J15&lt;J16,1,0))</f>
        <v>0</v>
      </c>
      <c r="BE16" s="224">
        <f t="array" ref="BE16">IF(OR(R15:R16="OFFICE"),0,IF(S16&gt;S15,1,0))</f>
        <v>0</v>
      </c>
      <c r="BF16" s="225">
        <f t="array" ref="BF16">IF(OR(AA15:AA16="OFFICE"),0,IF(AB15&lt;AB16,1,0))</f>
        <v>0</v>
      </c>
    </row>
    <row r="17" spans="1:66" s="10" customFormat="1" ht="24.95" customHeight="1" thickBot="1">
      <c r="A17" s="565">
        <v>11</v>
      </c>
      <c r="B17" s="570" t="s">
        <v>161</v>
      </c>
      <c r="C17" s="473" t="s">
        <v>184</v>
      </c>
      <c r="D17" s="463">
        <v>17</v>
      </c>
      <c r="F17" s="487"/>
      <c r="G17" s="489">
        <v>6</v>
      </c>
      <c r="H17" s="491"/>
      <c r="I17" s="307" t="str">
        <f>IF(ISNA(MATCH(G17,$D$7:$D$50,0)),"",INDEX($B$7:$B$50,MATCH(G17,$D$7:$D$50,0)))</f>
        <v>PLANTIER Pierre</v>
      </c>
      <c r="J17" s="7"/>
      <c r="K17" s="194">
        <f>IF(J17&gt;J18,4,0)</f>
        <v>0</v>
      </c>
      <c r="L17" s="194">
        <f t="shared" si="22"/>
        <v>0</v>
      </c>
      <c r="M17" s="194">
        <f>+J18</f>
        <v>0</v>
      </c>
      <c r="N17" s="194">
        <f t="shared" ref="N17" si="39">J17-J18</f>
        <v>0</v>
      </c>
      <c r="O17" s="195">
        <v>0</v>
      </c>
      <c r="P17" s="9"/>
      <c r="Q17" s="493"/>
      <c r="R17" s="314" t="str">
        <f>+I15</f>
        <v>GINESTE Thierry</v>
      </c>
      <c r="S17" s="7"/>
      <c r="T17" s="194">
        <f>IF(S17&gt;S18,4,0)</f>
        <v>0</v>
      </c>
      <c r="U17" s="194">
        <f t="shared" si="23"/>
        <v>0</v>
      </c>
      <c r="V17" s="194">
        <f>+S18</f>
        <v>0</v>
      </c>
      <c r="W17" s="194">
        <f t="shared" ref="W17" si="40">S17-S18</f>
        <v>0</v>
      </c>
      <c r="X17" s="195">
        <v>0</v>
      </c>
      <c r="Z17" s="493"/>
      <c r="AA17" s="319" t="str">
        <f>+R15</f>
        <v>CHIROL antoine</v>
      </c>
      <c r="AB17" s="7"/>
      <c r="AC17" s="194">
        <f>IF(AB17&gt;AB18,4,0)</f>
        <v>0</v>
      </c>
      <c r="AD17" s="194">
        <f t="shared" si="24"/>
        <v>0</v>
      </c>
      <c r="AE17" s="194">
        <f>+AB18</f>
        <v>0</v>
      </c>
      <c r="AF17" s="194">
        <f t="shared" ref="AF17" si="41">AB17-AB18</f>
        <v>0</v>
      </c>
      <c r="AG17" s="195">
        <v>0</v>
      </c>
      <c r="AH17"/>
      <c r="AI17" s="324" t="str">
        <f t="shared" si="25"/>
        <v xml:space="preserve"> </v>
      </c>
      <c r="AJ17" s="290">
        <f t="shared" si="26"/>
        <v>0</v>
      </c>
      <c r="AK17" s="280">
        <f t="shared" si="27"/>
        <v>0</v>
      </c>
      <c r="AL17" s="285">
        <f t="shared" si="28"/>
        <v>0</v>
      </c>
      <c r="AM17" s="280">
        <f t="shared" si="29"/>
        <v>0</v>
      </c>
      <c r="AN17"/>
      <c r="AO17" s="203">
        <v>1</v>
      </c>
      <c r="AP17" s="2"/>
      <c r="AQ17" s="16">
        <f t="shared" si="30"/>
        <v>0.99999000017000006</v>
      </c>
      <c r="AR17" s="17">
        <f>IF(AI17="","",SMALL(AQ$13:AQ$18,ROWS(AJ$13:AJ17)))</f>
        <v>1.00000000016</v>
      </c>
      <c r="AS17" s="194"/>
      <c r="AT17" s="178">
        <f>IF(AR17="","",IF(AND(AV16=AV17,AX16=AX17,AY16=AY17,AW17=AW16,AZ17=AZ16),AT16,$AT$7+4))</f>
        <v>2</v>
      </c>
      <c r="AU17" s="302" t="str">
        <f>IF(OR(AI17="",AJ17=""),"",INDEX($AI$13:$AI$18,MATCH(AR17,$AQ$13:$AQ$18,0)))</f>
        <v xml:space="preserve"> </v>
      </c>
      <c r="AV17" s="226">
        <f>IF(OR(AI17="",AJ17=""),"",INDEX($AJ$13:$AJ$18,MATCH(AR17,$AQ$13:$AQ$18,0)))</f>
        <v>0</v>
      </c>
      <c r="AW17" s="210">
        <f t="shared" si="31"/>
        <v>0</v>
      </c>
      <c r="AX17" s="236">
        <f>IF(OR(AI17="",AL17=""),"",INDEX($AL$13:$AL$18,MATCH(AR17,$AQ$13:$AQ$18,0)))</f>
        <v>0</v>
      </c>
      <c r="AY17" s="226">
        <f>IF(OR(AI17="",AM17=""),"",INDEX($AM$13:$AM$18,MATCH(AR17,$AQ$13:$AQ$18,0)))</f>
        <v>0</v>
      </c>
      <c r="AZ17" s="210">
        <f t="shared" si="32"/>
        <v>0</v>
      </c>
      <c r="BA17" s="212"/>
      <c r="BB17" s="335" t="str">
        <f>+I17</f>
        <v>PLANTIER Pierre</v>
      </c>
      <c r="BC17" s="227">
        <f t="shared" si="33"/>
        <v>0</v>
      </c>
      <c r="BD17" s="228">
        <f t="array" ref="BD17">IF(OR(I17:I18="OFFICE"),0,IF(J17&gt;J18,1,0))</f>
        <v>0</v>
      </c>
      <c r="BE17" s="229">
        <f t="array" ref="BE17">IF(OR(R13:R14="OFFICE"),0,IF(S13&gt;S14,1,0))</f>
        <v>0</v>
      </c>
      <c r="BF17" s="230">
        <f t="array" ref="BF17">IF(OR(AA13:AA14="OFFICE"),0,IF(AB13&gt;AB14,1,0))</f>
        <v>0</v>
      </c>
    </row>
    <row r="18" spans="1:66" s="10" customFormat="1" ht="24.95" customHeight="1" thickBot="1">
      <c r="A18" s="565">
        <v>12</v>
      </c>
      <c r="B18" s="572" t="s">
        <v>182</v>
      </c>
      <c r="C18" s="384" t="s">
        <v>134</v>
      </c>
      <c r="D18" s="463">
        <v>14</v>
      </c>
      <c r="F18" s="488"/>
      <c r="G18" s="490"/>
      <c r="H18" s="492"/>
      <c r="I18" s="309" t="s">
        <v>82</v>
      </c>
      <c r="J18" s="12"/>
      <c r="K18" s="196">
        <f>IF(J18&gt;J17,4,0)</f>
        <v>0</v>
      </c>
      <c r="L18" s="197">
        <f t="shared" si="22"/>
        <v>0</v>
      </c>
      <c r="M18" s="197">
        <f>+J17</f>
        <v>0</v>
      </c>
      <c r="N18" s="197">
        <f>J18-J17</f>
        <v>0</v>
      </c>
      <c r="O18" s="197"/>
      <c r="P18" s="192"/>
      <c r="Q18" s="492"/>
      <c r="R18" s="309" t="s">
        <v>82</v>
      </c>
      <c r="S18" s="12"/>
      <c r="T18" s="199">
        <v>0</v>
      </c>
      <c r="U18" s="197">
        <f t="shared" si="23"/>
        <v>0</v>
      </c>
      <c r="V18" s="197">
        <f>+S17</f>
        <v>0</v>
      </c>
      <c r="W18" s="197">
        <f t="shared" ref="W18" si="42">S18-S17</f>
        <v>0</v>
      </c>
      <c r="X18" s="197"/>
      <c r="Y18" s="192"/>
      <c r="Z18" s="492"/>
      <c r="AA18" s="309" t="s">
        <v>82</v>
      </c>
      <c r="AB18" s="12"/>
      <c r="AC18" s="199">
        <v>0</v>
      </c>
      <c r="AD18" s="197">
        <f t="shared" si="24"/>
        <v>0</v>
      </c>
      <c r="AE18" s="197">
        <f>+AB17</f>
        <v>0</v>
      </c>
      <c r="AF18" s="197">
        <f t="shared" ref="AF18" si="43">AB18-AB17</f>
        <v>0</v>
      </c>
      <c r="AG18" s="197"/>
      <c r="AH18"/>
      <c r="AI18" s="325"/>
      <c r="AJ18" s="288"/>
      <c r="AK18" s="288">
        <f>SUM(AK13:AK17)</f>
        <v>0</v>
      </c>
      <c r="AL18" s="288">
        <f>SUM(AL13:AL17)</f>
        <v>0</v>
      </c>
      <c r="AM18" s="282">
        <f>SUM(AM13:AM17)</f>
        <v>0</v>
      </c>
      <c r="AN18"/>
      <c r="AO18" s="205"/>
      <c r="AP18" s="42"/>
      <c r="AQ18" s="16" t="str">
        <f t="shared" si="21"/>
        <v/>
      </c>
      <c r="AR18" s="204"/>
      <c r="AS18" s="204"/>
      <c r="AT18" s="197"/>
      <c r="AU18" s="204"/>
      <c r="AV18" s="204"/>
      <c r="AW18" s="204"/>
      <c r="AX18" s="204"/>
      <c r="AY18" s="204"/>
      <c r="AZ18" s="212"/>
      <c r="BA18" s="212"/>
      <c r="BB18" s="336"/>
      <c r="BC18" s="232">
        <f>SUM(BC13:BC17)</f>
        <v>0</v>
      </c>
      <c r="BD18" s="232">
        <f>SUM(BD13:BD17)</f>
        <v>0</v>
      </c>
      <c r="BE18" s="232">
        <f>SUM(BE13:BE17)</f>
        <v>0</v>
      </c>
      <c r="BF18" s="232">
        <f>SUM(BF13:BF17)</f>
        <v>0</v>
      </c>
    </row>
    <row r="19" spans="1:66" s="10" customFormat="1" ht="24.95" customHeight="1">
      <c r="A19" s="565">
        <v>13</v>
      </c>
      <c r="B19" s="571" t="s">
        <v>165</v>
      </c>
      <c r="C19" s="383" t="s">
        <v>175</v>
      </c>
      <c r="D19" s="463">
        <v>16</v>
      </c>
      <c r="F19" s="486">
        <v>3</v>
      </c>
      <c r="G19" s="14">
        <v>7</v>
      </c>
      <c r="H19" s="484">
        <v>5</v>
      </c>
      <c r="I19" s="390" t="str">
        <f>IF(ISNA(MATCH(G19,$D$7:$D$50,0)),"",INDEX($B$7:$B$50,MATCH(G19,$D$7:$D$50,0)))</f>
        <v>SIEGEL Mathias</v>
      </c>
      <c r="J19" s="7"/>
      <c r="K19" s="194">
        <f>IF(J19&gt;J20,4,0)</f>
        <v>0</v>
      </c>
      <c r="L19" s="194">
        <f t="shared" si="22"/>
        <v>0</v>
      </c>
      <c r="M19" s="194">
        <f>+J20</f>
        <v>0</v>
      </c>
      <c r="N19" s="194">
        <f>J19-J20</f>
        <v>0</v>
      </c>
      <c r="O19" s="194">
        <f>K19/4</f>
        <v>0</v>
      </c>
      <c r="P19" s="9"/>
      <c r="Q19" s="484">
        <v>3</v>
      </c>
      <c r="R19" s="310" t="str">
        <f>+I23</f>
        <v>GAILLARD Jean Louis</v>
      </c>
      <c r="S19" s="7"/>
      <c r="T19" s="194">
        <f>IF(S19&gt;S20,4,0)</f>
        <v>0</v>
      </c>
      <c r="U19" s="194">
        <f t="shared" si="23"/>
        <v>0</v>
      </c>
      <c r="V19" s="194">
        <f>+S20</f>
        <v>0</v>
      </c>
      <c r="W19" s="194">
        <f>S19-S20</f>
        <v>0</v>
      </c>
      <c r="X19" s="194">
        <f>T19/4</f>
        <v>0</v>
      </c>
      <c r="Z19" s="484">
        <v>7</v>
      </c>
      <c r="AA19" s="316" t="str">
        <f>+R19</f>
        <v>GAILLARD Jean Louis</v>
      </c>
      <c r="AB19" s="7"/>
      <c r="AC19" s="194">
        <f>IF(AB19&gt;AB20,4,0)</f>
        <v>0</v>
      </c>
      <c r="AD19" s="194">
        <f t="shared" si="24"/>
        <v>0</v>
      </c>
      <c r="AE19" s="194">
        <f>+AB20</f>
        <v>0</v>
      </c>
      <c r="AF19" s="194">
        <f>AB19-AB20</f>
        <v>0</v>
      </c>
      <c r="AG19" s="194">
        <f>AC19/4</f>
        <v>0</v>
      </c>
      <c r="AH19"/>
      <c r="AI19" s="322" t="str">
        <f>IF(J19&lt;&gt;"",I19," ")</f>
        <v xml:space="preserve"> </v>
      </c>
      <c r="AJ19" s="291">
        <f>SUM(IFERROR(VLOOKUP(AI19,$I$19:$K$24,3,0),0),IFERROR(VLOOKUP(AI19,$R$19:$T$24,3,0),0),IFERROR(VLOOKUP(AI19,$AA$19:$AC$24,3,0),0))</f>
        <v>0</v>
      </c>
      <c r="AK19" s="278">
        <f>SUM(IFERROR(VLOOKUP(AI19,$I$19:$N$24,6,0),0),IFERROR(VLOOKUP(AI19,$R$19:$W$24,6,0),0),IFERROR(VLOOKUP(AI19,$AA$19:$AF$24,6,0),0))</f>
        <v>0</v>
      </c>
      <c r="AL19" s="283">
        <f>SUM(IFERROR(VLOOKUP(AI19,$I$19:$M$24,4,0),0),IFERROR(VLOOKUP(AI19,$R$19:$V$24,4,0),0),IFERROR(VLOOKUP(AI19,$AA$19:$AE$24,4,0),0))</f>
        <v>0</v>
      </c>
      <c r="AM19" s="278">
        <f>SUM(IFERROR(VLOOKUP(AI19,$I$19:$M$24,5,0),0),IFERROR(VLOOKUP(AI19,$R$19:$V$24,5,0),0),IFERROR(VLOOKUP(AI19,$AA$19:$AE$24,5,0),0))</f>
        <v>0</v>
      </c>
      <c r="AN19"/>
      <c r="AO19" s="207">
        <v>0</v>
      </c>
      <c r="AP19" s="2"/>
      <c r="AQ19" s="16">
        <f>IF(OR(AI19="",AJ19=""),"",RANK(AJ19,$AJ$19:$AJ$23)+SUM(-AK19/1000)-(+AL19/10000)-(+AO19/100000)-(-AM19/1000000)+COUNTIF(AI$19:AI$23,"&lt;="&amp;AI19+1)/10000000000+ROW()/100000000000)</f>
        <v>1.00000000019</v>
      </c>
      <c r="AR19" s="41">
        <f>IF(AI19="","",SMALL(AQ$19:AQ$24,ROWS(AJ$19:AJ19)))</f>
        <v>0.99999000023000006</v>
      </c>
      <c r="AS19" s="194"/>
      <c r="AT19" s="198">
        <f>IF(AR19="","",1)</f>
        <v>1</v>
      </c>
      <c r="AU19" s="303" t="str">
        <f>IF(OR(AI19="",AJ19=""),"",INDEX($AI$19:$AI$24,MATCH(AR19,$AQ$19:$AQ$24,0)))</f>
        <v xml:space="preserve"> </v>
      </c>
      <c r="AV19" s="211">
        <f>IF(OR(AI19="",AJ19=""),"",INDEX($AJ$19:$AJ$24,MATCH(AR19,$AQ$19:$AQ$24,0)))</f>
        <v>0</v>
      </c>
      <c r="AW19" s="237">
        <f>IF(OR(AI19="",AK19=""),"",INDEX($AK$19:$AK$24,MATCH(AR19,$AQ$19:$AQ$24,0)))</f>
        <v>0</v>
      </c>
      <c r="AX19" s="211">
        <f>IF(OR(AI19="",AL19=""),"",INDEX($AL$19:$AL$24,MATCH(AR19,$AQ$19:$AQ$24,0)))</f>
        <v>0</v>
      </c>
      <c r="AY19" s="211">
        <f>IF(OR(AI19="",AM19=""),"",INDEX($AM$19:$AM$24,MATCH(AR19,$AQ$19:$AQ$24,0)))</f>
        <v>0</v>
      </c>
      <c r="AZ19" s="210">
        <f>IF(OR(AI19="",AO19=""),"",INDEX($AO$19:$AO$23,MATCH(AR19,$AQ$19:$AQ$23,0)))</f>
        <v>1</v>
      </c>
      <c r="BA19" s="212"/>
      <c r="BB19" s="332" t="str">
        <f>I19</f>
        <v>SIEGEL Mathias</v>
      </c>
      <c r="BC19" s="213">
        <f>SUM(BD19:BF19)</f>
        <v>0</v>
      </c>
      <c r="BD19" s="214">
        <f t="array" ref="BD19">IF(OR(I19:I20="OFFICE"),0,IF(J19&gt;J20,1,0))</f>
        <v>0</v>
      </c>
      <c r="BE19" s="215">
        <f t="array" ref="BE19">IF(OR(R21:R22="OFFICE"),0,IF(S21&gt;S22,1,0))</f>
        <v>0</v>
      </c>
      <c r="BF19" s="216">
        <f t="array" ref="BF19">IF(OR(AA23:AA24="OFFICE"),0,IF(AB23&gt;AB24,1,0))</f>
        <v>0</v>
      </c>
    </row>
    <row r="20" spans="1:66" s="10" customFormat="1" ht="24.95" customHeight="1" thickBot="1">
      <c r="A20" s="565">
        <v>14</v>
      </c>
      <c r="B20" s="570" t="s">
        <v>152</v>
      </c>
      <c r="C20" s="471" t="s">
        <v>186</v>
      </c>
      <c r="D20" s="463">
        <v>9</v>
      </c>
      <c r="F20" s="487"/>
      <c r="G20" s="15">
        <v>29</v>
      </c>
      <c r="H20" s="494"/>
      <c r="I20" s="306" t="str">
        <f>IF(ISNA(MATCH(G20,$D$7:$D$50,0)),"",INDEX($B$7:$B$50,MATCH(G20,$D$7:$D$50,0)))</f>
        <v>YANEZ José</v>
      </c>
      <c r="J20" s="12"/>
      <c r="K20" s="194">
        <f>IF(J20&gt;J19,4,0)</f>
        <v>0</v>
      </c>
      <c r="L20" s="194">
        <f t="shared" si="22"/>
        <v>0</v>
      </c>
      <c r="M20" s="194">
        <f>+J19</f>
        <v>0</v>
      </c>
      <c r="N20" s="194">
        <f>J20-J19</f>
        <v>0</v>
      </c>
      <c r="O20" s="194">
        <f>K20/4</f>
        <v>0</v>
      </c>
      <c r="P20" s="9"/>
      <c r="Q20" s="494"/>
      <c r="R20" s="311" t="str">
        <f>+I20</f>
        <v>YANEZ José</v>
      </c>
      <c r="S20" s="12"/>
      <c r="T20" s="194">
        <f>IF(S20&gt;S19,4,0)</f>
        <v>0</v>
      </c>
      <c r="U20" s="194">
        <f t="shared" si="23"/>
        <v>0</v>
      </c>
      <c r="V20" s="194">
        <f>+S19</f>
        <v>0</v>
      </c>
      <c r="W20" s="194">
        <f>S20-S19</f>
        <v>0</v>
      </c>
      <c r="X20" s="194">
        <f>T20/4</f>
        <v>0</v>
      </c>
      <c r="Z20" s="494"/>
      <c r="AA20" s="317" t="str">
        <f>+R23</f>
        <v>REYNAUD DENIS</v>
      </c>
      <c r="AB20" s="12"/>
      <c r="AC20" s="194">
        <f>IF(AB20&gt;AB19,4,0)</f>
        <v>0</v>
      </c>
      <c r="AD20" s="194">
        <f t="shared" si="24"/>
        <v>0</v>
      </c>
      <c r="AE20" s="194">
        <f>+AB19</f>
        <v>0</v>
      </c>
      <c r="AF20" s="194">
        <f>AB20-AB19</f>
        <v>0</v>
      </c>
      <c r="AG20" s="194">
        <f>AC20/4</f>
        <v>0</v>
      </c>
      <c r="AH20"/>
      <c r="AI20" s="323" t="str">
        <f t="shared" ref="AI20:AI23" si="44">IF(J20&lt;&gt;"",I20," ")</f>
        <v xml:space="preserve"> </v>
      </c>
      <c r="AJ20" s="292">
        <f t="shared" ref="AJ20:AJ23" si="45">SUM(IFERROR(VLOOKUP(AI20,$I$19:$K$24,3,0),0),IFERROR(VLOOKUP(AI20,$R$19:$T$24,3,0),0),IFERROR(VLOOKUP(AI20,$AA$19:$AC$24,3,0),0))</f>
        <v>0</v>
      </c>
      <c r="AK20" s="279">
        <f t="shared" ref="AK20:AK23" si="46">SUM(IFERROR(VLOOKUP(AI20,$I$19:$N$24,6,0),0),IFERROR(VLOOKUP(AI20,$R$19:$W$24,6,0),0),IFERROR(VLOOKUP(AI20,$AA$19:$AF$24,6,0),0))</f>
        <v>0</v>
      </c>
      <c r="AL20" s="284">
        <f t="shared" ref="AL20:AL23" si="47">SUM(IFERROR(VLOOKUP(AI20,$I$19:$M$24,4,0),0),IFERROR(VLOOKUP(AI20,$R$19:$V$24,4,0),0),IFERROR(VLOOKUP(AI20,$AA$19:$AE$24,4,0),0))</f>
        <v>0</v>
      </c>
      <c r="AM20" s="279">
        <f t="shared" ref="AM20:AM23" si="48">SUM(IFERROR(VLOOKUP(AI20,$I$19:$M$24,5,0),0),IFERROR(VLOOKUP(AI20,$R$19:$V$24,5,0),0),IFERROR(VLOOKUP(AI20,$AA$19:$AE$24,5,0),0))</f>
        <v>0</v>
      </c>
      <c r="AN20"/>
      <c r="AO20" s="202">
        <v>0</v>
      </c>
      <c r="AP20" s="2"/>
      <c r="AQ20" s="16">
        <f t="shared" ref="AQ20:AQ23" si="49">IF(OR(AI20="",AJ20=""),"",RANK(AJ20,$AJ$19:$AJ$23)+SUM(-AK20/1000)-(+AL20/10000)-(+AO20/100000)-(-AM20/1000000)+COUNTIF(AI$19:AI$23,"&lt;="&amp;AI20+1)/10000000000+ROW()/100000000000)</f>
        <v>1.0000000002</v>
      </c>
      <c r="AR20" s="17">
        <f>IF(AI20="","",SMALL(AQ$19:AQ$24,ROWS(AJ$19:AJ20)))</f>
        <v>1.00000000019</v>
      </c>
      <c r="AS20" s="194"/>
      <c r="AT20" s="208">
        <f>IF(AR20="","",IF(AND(AV19=AV20,AX19=AX20,AY19=AY20,AW20=AW19,AZ20=AZ19),AT19,$AT$7+1))</f>
        <v>2</v>
      </c>
      <c r="AU20" s="304" t="str">
        <f>IF(OR(AI20="",AJ20=""),"",INDEX($AI$19:$AI$24,MATCH(AR20,$AQ$19:$AQ$24,0)))</f>
        <v xml:space="preserve"> </v>
      </c>
      <c r="AV20" s="217">
        <f>IF(OR(AI20="",AJ20=""),"",INDEX($AJ$19:$AJ$24,MATCH(AR20,$AQ$19:$AQ$24,0)))</f>
        <v>0</v>
      </c>
      <c r="AW20" s="237">
        <f t="shared" ref="AW20:AW23" si="50">IF(OR(AI20="",AK20=""),"",INDEX($AK$19:$AK$24,MATCH(AR20,$AQ$19:$AQ$24,0)))</f>
        <v>0</v>
      </c>
      <c r="AX20" s="217">
        <f>IF(OR(AI20="",AL20=""),"",INDEX($AL$19:$AL$24,MATCH(AR20,$AQ$19:$AQ$24,0)))</f>
        <v>0</v>
      </c>
      <c r="AY20" s="217">
        <f>IF(OR(AI20="",AM20=""),"",INDEX($AM$19:$AM$24,MATCH(AR20,$AQ$19:$AQ$24,0)))</f>
        <v>0</v>
      </c>
      <c r="AZ20" s="210">
        <f t="shared" ref="AZ20:AZ23" si="51">IF(OR(AI20="",AO20=""),"",INDEX($AO$19:$AO$23,MATCH(AR20,$AQ$19:$AQ$23,0)))</f>
        <v>0</v>
      </c>
      <c r="BA20" s="212"/>
      <c r="BB20" s="333" t="str">
        <f>+I20</f>
        <v>YANEZ José</v>
      </c>
      <c r="BC20" s="218">
        <f t="shared" ref="BC20:BC23" si="52">SUM(BD20:BF20)</f>
        <v>0</v>
      </c>
      <c r="BD20" s="219">
        <f t="array" ref="BD20">IF(OR(I19:I20="OFFICE"),0,IF(J20&gt;J19,1,0))</f>
        <v>0</v>
      </c>
      <c r="BE20" s="188">
        <f t="array" ref="BE20">IF(OR(R21:R22="OFFICE"),0,IF(S22&gt;S21,1,0))</f>
        <v>0</v>
      </c>
      <c r="BF20" s="220">
        <f t="array" ref="BF20">IF(OR(AA21:AA22="OFFICE"),0,IF(AB22&gt;AB21,1,0))</f>
        <v>0</v>
      </c>
    </row>
    <row r="21" spans="1:66" s="10" customFormat="1" ht="24.95" customHeight="1">
      <c r="A21" s="565">
        <v>15</v>
      </c>
      <c r="B21" s="571" t="s">
        <v>133</v>
      </c>
      <c r="C21" s="382" t="s">
        <v>181</v>
      </c>
      <c r="D21" s="463">
        <v>5</v>
      </c>
      <c r="F21" s="487"/>
      <c r="G21" s="15">
        <v>8</v>
      </c>
      <c r="H21" s="484">
        <v>6</v>
      </c>
      <c r="I21" s="390" t="str">
        <f>IF(ISNA(MATCH(G21,$D$7:$D$50,0)),"",INDEX($B$7:$B$50,MATCH(G21,$D$7:$D$50,0)))</f>
        <v>REYNAUD DENIS</v>
      </c>
      <c r="J21" s="7"/>
      <c r="K21" s="194">
        <f>IF(J21&gt;J22,4,0)</f>
        <v>0</v>
      </c>
      <c r="L21" s="194">
        <f t="shared" si="22"/>
        <v>0</v>
      </c>
      <c r="M21" s="194">
        <f>+J22</f>
        <v>0</v>
      </c>
      <c r="N21" s="194">
        <f t="shared" ref="N21" si="53">J21-J22</f>
        <v>0</v>
      </c>
      <c r="O21" s="194">
        <f>K21/4</f>
        <v>0</v>
      </c>
      <c r="P21" s="9"/>
      <c r="Q21" s="484">
        <v>4</v>
      </c>
      <c r="R21" s="312" t="str">
        <f>+I19</f>
        <v>SIEGEL Mathias</v>
      </c>
      <c r="S21" s="7"/>
      <c r="T21" s="194">
        <f>IF(S21&gt;S22,4,0)</f>
        <v>0</v>
      </c>
      <c r="U21" s="194">
        <f t="shared" si="23"/>
        <v>0</v>
      </c>
      <c r="V21" s="194">
        <f>+S22</f>
        <v>0</v>
      </c>
      <c r="W21" s="194">
        <f t="shared" ref="W21" si="54">S21-S22</f>
        <v>0</v>
      </c>
      <c r="X21" s="194">
        <f>T21/4</f>
        <v>0</v>
      </c>
      <c r="Z21" s="484">
        <v>8</v>
      </c>
      <c r="AA21" s="316" t="str">
        <f>+R20</f>
        <v>YANEZ José</v>
      </c>
      <c r="AB21" s="7"/>
      <c r="AC21" s="194">
        <f>IF(AB21&gt;AB22,4,0)</f>
        <v>0</v>
      </c>
      <c r="AD21" s="194">
        <f t="shared" si="24"/>
        <v>0</v>
      </c>
      <c r="AE21" s="194">
        <f>+AB22</f>
        <v>0</v>
      </c>
      <c r="AF21" s="194">
        <f t="shared" ref="AF21" si="55">AB21-AB22</f>
        <v>0</v>
      </c>
      <c r="AG21" s="194">
        <f>AC21/4</f>
        <v>0</v>
      </c>
      <c r="AH21"/>
      <c r="AI21" s="323" t="str">
        <f t="shared" si="44"/>
        <v xml:space="preserve"> </v>
      </c>
      <c r="AJ21" s="292">
        <f t="shared" si="45"/>
        <v>0</v>
      </c>
      <c r="AK21" s="279">
        <f t="shared" si="46"/>
        <v>0</v>
      </c>
      <c r="AL21" s="284">
        <f t="shared" si="47"/>
        <v>0</v>
      </c>
      <c r="AM21" s="279">
        <f t="shared" si="48"/>
        <v>0</v>
      </c>
      <c r="AN21"/>
      <c r="AO21" s="202">
        <v>0</v>
      </c>
      <c r="AP21" s="2"/>
      <c r="AQ21" s="16">
        <f t="shared" si="49"/>
        <v>1.00000000021</v>
      </c>
      <c r="AR21" s="17">
        <f>IF(AI21="","",SMALL(AQ$19:AQ$24,ROWS(AJ$19:AJ21)))</f>
        <v>1.0000000002</v>
      </c>
      <c r="AS21" s="194"/>
      <c r="AT21" s="208">
        <f>IF(AR21="","",IF(AND(AV20=AV21,AX20=AX21,AY20=AY21,AW21=AW20,AZ21=AZ20),AT20,$AT$7+2))</f>
        <v>2</v>
      </c>
      <c r="AU21" s="304" t="str">
        <f>IF(OR(AI21="",AJ21=""),"",INDEX($AI$19:$AI$24,MATCH(AR21,$AQ$19:$AQ$24,0)))</f>
        <v xml:space="preserve"> </v>
      </c>
      <c r="AV21" s="217">
        <f>IF(OR(AI21="",AJ21=""),"",INDEX($AJ$19:$AJ$24,MATCH(AR21,$AQ$19:$AQ$24,0)))</f>
        <v>0</v>
      </c>
      <c r="AW21" s="237">
        <f t="shared" si="50"/>
        <v>0</v>
      </c>
      <c r="AX21" s="217">
        <f>IF(OR(AI21="",AL21=""),"",INDEX($AL$19:$AL$24,MATCH(AR21,$AQ$19:$AQ$24,0)))</f>
        <v>0</v>
      </c>
      <c r="AY21" s="217">
        <f>IF(OR(AI21="",AM21=""),"",INDEX($AM$19:$AM$24,MATCH(AR21,$AQ$19:$AQ$24,0)))</f>
        <v>0</v>
      </c>
      <c r="AZ21" s="210">
        <f t="shared" si="51"/>
        <v>0</v>
      </c>
      <c r="BA21" s="212"/>
      <c r="BB21" s="333" t="str">
        <f>+I21</f>
        <v>REYNAUD DENIS</v>
      </c>
      <c r="BC21" s="218">
        <f t="shared" si="52"/>
        <v>0</v>
      </c>
      <c r="BD21" s="219">
        <f t="array" ref="BD21">IF(OR(I21:I22="OFFICE"),0,IF(J21&gt;J22,1,0))</f>
        <v>0</v>
      </c>
      <c r="BE21" s="188">
        <f t="array" ref="BE21">IF(OR(R23:R24="OFFICE"),0,IF(S23&gt;S24,1,0))</f>
        <v>0</v>
      </c>
      <c r="BF21" s="220">
        <f t="array" ref="BF21">IF(OR(AA19:AA20="OFFICE"),0,IF(AB20&gt;AB19,1,0))</f>
        <v>0</v>
      </c>
    </row>
    <row r="22" spans="1:66" s="10" customFormat="1" ht="24.95" customHeight="1" thickBot="1">
      <c r="A22" s="565">
        <v>16</v>
      </c>
      <c r="B22" s="571" t="s">
        <v>127</v>
      </c>
      <c r="C22" s="383" t="s">
        <v>177</v>
      </c>
      <c r="D22" s="463">
        <v>23</v>
      </c>
      <c r="F22" s="487"/>
      <c r="G22" s="15">
        <v>30</v>
      </c>
      <c r="H22" s="494"/>
      <c r="I22" s="306" t="str">
        <f>IF(ISNA(MATCH(G22,$D$7:$D$50,0)),"",INDEX($B$7:$B$50,MATCH(G22,$D$7:$D$50,0)))</f>
        <v>POULAIN Paul</v>
      </c>
      <c r="J22" s="11"/>
      <c r="K22" s="194">
        <f>IF(J22&gt;J21,4,0)</f>
        <v>0</v>
      </c>
      <c r="L22" s="194">
        <f t="shared" si="22"/>
        <v>0</v>
      </c>
      <c r="M22" s="194">
        <f>+J21</f>
        <v>0</v>
      </c>
      <c r="N22" s="194">
        <f>J22-J21</f>
        <v>0</v>
      </c>
      <c r="O22" s="194">
        <f>K22/4</f>
        <v>0</v>
      </c>
      <c r="P22" s="9"/>
      <c r="Q22" s="485"/>
      <c r="R22" s="313" t="str">
        <f>+I22</f>
        <v>POULAIN Paul</v>
      </c>
      <c r="S22" s="11"/>
      <c r="T22" s="194">
        <f>IF(S22&gt;S21,4,0)</f>
        <v>0</v>
      </c>
      <c r="U22" s="194">
        <f t="shared" si="23"/>
        <v>0</v>
      </c>
      <c r="V22" s="194">
        <f>+S21</f>
        <v>0</v>
      </c>
      <c r="W22" s="194">
        <f t="shared" ref="W22" si="56">S22-S21</f>
        <v>0</v>
      </c>
      <c r="X22" s="194">
        <f>T22/4</f>
        <v>0</v>
      </c>
      <c r="Z22" s="485"/>
      <c r="AA22" s="318" t="str">
        <f>+R22</f>
        <v>POULAIN Paul</v>
      </c>
      <c r="AB22" s="12"/>
      <c r="AC22" s="194">
        <f>IF(AB22&gt;AB21,4,0)</f>
        <v>0</v>
      </c>
      <c r="AD22" s="194">
        <f t="shared" si="24"/>
        <v>0</v>
      </c>
      <c r="AE22" s="194">
        <f>+AB21</f>
        <v>0</v>
      </c>
      <c r="AF22" s="194">
        <f t="shared" ref="AF22" si="57">AB22-AB21</f>
        <v>0</v>
      </c>
      <c r="AG22" s="194">
        <f>AC22/4</f>
        <v>0</v>
      </c>
      <c r="AH22"/>
      <c r="AI22" s="323" t="str">
        <f t="shared" si="44"/>
        <v xml:space="preserve"> </v>
      </c>
      <c r="AJ22" s="292">
        <f t="shared" si="45"/>
        <v>0</v>
      </c>
      <c r="AK22" s="279">
        <f t="shared" si="46"/>
        <v>0</v>
      </c>
      <c r="AL22" s="284">
        <f t="shared" si="47"/>
        <v>0</v>
      </c>
      <c r="AM22" s="279">
        <f t="shared" si="48"/>
        <v>0</v>
      </c>
      <c r="AN22"/>
      <c r="AO22" s="202">
        <v>0</v>
      </c>
      <c r="AP22" s="2"/>
      <c r="AQ22" s="16">
        <f t="shared" si="49"/>
        <v>1.00000000022</v>
      </c>
      <c r="AR22" s="17">
        <f>IF(AI22="","",SMALL(AQ$19:AQ$24,ROWS(AJ$19:AJ22)))</f>
        <v>1.00000000021</v>
      </c>
      <c r="AS22" s="194"/>
      <c r="AT22" s="208">
        <f>IF(AR22="","",IF(AND(AV21=AV22,AX21=AX22,AY21=AY22,AW22=AW21,AZ22=AZ21),AT21,$AT$7+3))</f>
        <v>2</v>
      </c>
      <c r="AU22" s="305" t="str">
        <f>IF(OR(AI22="",AJ22=""),"",INDEX($AI$19:$AI$24,MATCH(AR22,$AQ$19:$AQ$24,0)))</f>
        <v xml:space="preserve"> </v>
      </c>
      <c r="AV22" s="222">
        <f>IF(OR(AI22="",AJ22=""),"",INDEX($AJ$19:$AJ$24,MATCH(AR22,$AQ$19:$AQ$24,0)))</f>
        <v>0</v>
      </c>
      <c r="AW22" s="237">
        <f t="shared" si="50"/>
        <v>0</v>
      </c>
      <c r="AX22" s="222">
        <f>IF(OR(AI22="",AL22=""),"",INDEX($AL$19:$AL$24,MATCH(AR22,$AQ$19:$AQ$24,0)))</f>
        <v>0</v>
      </c>
      <c r="AY22" s="222">
        <f>IF(OR(AI22="",AM22=""),"",INDEX($AM$19:$AM$24,MATCH(AR22,$AQ$19:$AQ$24,0)))</f>
        <v>0</v>
      </c>
      <c r="AZ22" s="210">
        <f t="shared" si="51"/>
        <v>0</v>
      </c>
      <c r="BA22" s="212"/>
      <c r="BB22" s="334" t="str">
        <f>+I22</f>
        <v>POULAIN Paul</v>
      </c>
      <c r="BC22" s="223">
        <f t="shared" si="52"/>
        <v>0</v>
      </c>
      <c r="BD22" s="219">
        <f t="array" ref="BD22">IF(OR(I21:I22="OFFICE"),0,IF(J21&lt;J22,1,0))</f>
        <v>0</v>
      </c>
      <c r="BE22" s="224">
        <f t="array" ref="BE22">IF(OR(R19:R20="OFFICE"),0,IF(S20&gt;S19,1,0))</f>
        <v>0</v>
      </c>
      <c r="BF22" s="225">
        <f t="array" ref="BF22">IF(OR(AA21:AA22="OFFICE"),0,IF(AB21&gt;AB22,1,0))</f>
        <v>0</v>
      </c>
    </row>
    <row r="23" spans="1:66" s="10" customFormat="1" ht="24.95" customHeight="1" thickBot="1">
      <c r="A23" s="565">
        <v>17</v>
      </c>
      <c r="B23" s="571" t="s">
        <v>128</v>
      </c>
      <c r="C23" s="382" t="s">
        <v>178</v>
      </c>
      <c r="D23" s="463">
        <v>15</v>
      </c>
      <c r="F23" s="487"/>
      <c r="G23" s="489">
        <v>9</v>
      </c>
      <c r="H23" s="491"/>
      <c r="I23" s="307" t="str">
        <f>IF(ISNA(MATCH(G23,$D$7:$D$50,0)),"",INDEX($B$7:$B$50,MATCH(G23,$D$7:$D$50,0)))</f>
        <v>GAILLARD Jean Louis</v>
      </c>
      <c r="J23" s="7"/>
      <c r="K23" s="194">
        <f>IF(J23&gt;J24,4,0)</f>
        <v>0</v>
      </c>
      <c r="L23" s="194">
        <f t="shared" si="22"/>
        <v>0</v>
      </c>
      <c r="M23" s="194">
        <f>+J24</f>
        <v>0</v>
      </c>
      <c r="N23" s="194">
        <f t="shared" ref="N23" si="58">J23-J24</f>
        <v>0</v>
      </c>
      <c r="O23" s="195">
        <v>0</v>
      </c>
      <c r="P23" s="9"/>
      <c r="Q23" s="493"/>
      <c r="R23" s="314" t="str">
        <f>+I21</f>
        <v>REYNAUD DENIS</v>
      </c>
      <c r="S23" s="7"/>
      <c r="T23" s="194">
        <f>IF(S23&gt;S24,4,0)</f>
        <v>0</v>
      </c>
      <c r="U23" s="194">
        <f t="shared" si="23"/>
        <v>0</v>
      </c>
      <c r="V23" s="194">
        <f>+S24</f>
        <v>0</v>
      </c>
      <c r="W23" s="194">
        <f t="shared" ref="W23" si="59">S23-S24</f>
        <v>0</v>
      </c>
      <c r="X23" s="195">
        <v>0</v>
      </c>
      <c r="Y23" s="40"/>
      <c r="Z23" s="493"/>
      <c r="AA23" s="319" t="str">
        <f>+R21</f>
        <v>SIEGEL Mathias</v>
      </c>
      <c r="AB23" s="7"/>
      <c r="AC23" s="194">
        <f>IF(AB23&gt;AB24,4,0)</f>
        <v>0</v>
      </c>
      <c r="AD23" s="194">
        <f t="shared" si="24"/>
        <v>0</v>
      </c>
      <c r="AE23" s="194">
        <f>+AB24</f>
        <v>0</v>
      </c>
      <c r="AF23" s="194">
        <f t="shared" ref="AF23" si="60">AB23-AB24</f>
        <v>0</v>
      </c>
      <c r="AG23" s="195">
        <v>0</v>
      </c>
      <c r="AH23"/>
      <c r="AI23" s="324" t="str">
        <f t="shared" si="44"/>
        <v xml:space="preserve"> </v>
      </c>
      <c r="AJ23" s="290">
        <f t="shared" si="45"/>
        <v>0</v>
      </c>
      <c r="AK23" s="280">
        <f t="shared" si="46"/>
        <v>0</v>
      </c>
      <c r="AL23" s="285">
        <f t="shared" si="47"/>
        <v>0</v>
      </c>
      <c r="AM23" s="280">
        <f t="shared" si="48"/>
        <v>0</v>
      </c>
      <c r="AN23"/>
      <c r="AO23" s="203">
        <v>1</v>
      </c>
      <c r="AP23" s="2"/>
      <c r="AQ23" s="16">
        <f t="shared" si="49"/>
        <v>0.99999000023000006</v>
      </c>
      <c r="AR23" s="17">
        <f>IF(AI23="","",SMALL(AQ$19:AQ$24,ROWS(AJ$19:AJ23)))</f>
        <v>1.00000000022</v>
      </c>
      <c r="AS23" s="194"/>
      <c r="AT23" s="208">
        <f>IF(AR23="","",IF(AND(AV22=AV23,AX22=AX23,AY22=AY23,AW23=AW22,AZ23=AZ22),AT22,$AT$7+4))</f>
        <v>2</v>
      </c>
      <c r="AU23" s="305" t="str">
        <f>IF(OR(AI23="",AJ23=""),"",INDEX($AI$19:$AI$24,MATCH(AR23,$AQ$19:$AQ$24,0)))</f>
        <v xml:space="preserve"> </v>
      </c>
      <c r="AV23" s="222">
        <f>IF(OR(AI23="",AJ23=""),"",INDEX($AJ$19:$AJ$24,MATCH(AR23,$AQ$19:$AQ$24,0)))</f>
        <v>0</v>
      </c>
      <c r="AW23" s="237">
        <f t="shared" si="50"/>
        <v>0</v>
      </c>
      <c r="AX23" s="222">
        <f>IF(OR(AI23="",AL23=""),"",INDEX($AL$19:$AL$24,MATCH(AR23,$AQ$19:$AQ$24,0)))</f>
        <v>0</v>
      </c>
      <c r="AY23" s="222">
        <f>IF(OR(AI23="",AM23=""),"",INDEX($AM$19:$AM$24,MATCH(AR23,$AQ$19:$AQ$24,0)))</f>
        <v>0</v>
      </c>
      <c r="AZ23" s="210">
        <f t="shared" si="51"/>
        <v>0</v>
      </c>
      <c r="BA23" s="212"/>
      <c r="BB23" s="335" t="str">
        <f>+I23</f>
        <v>GAILLARD Jean Louis</v>
      </c>
      <c r="BC23" s="227">
        <f t="shared" si="52"/>
        <v>0</v>
      </c>
      <c r="BD23" s="228">
        <f t="array" ref="BD23">IF(OR(I23:I24="OFFICE"),0,IF(J23&gt;J24,1,0))</f>
        <v>0</v>
      </c>
      <c r="BE23" s="229">
        <f t="array" ref="BE23">IF(OR(R19:R20="OFFICE"),0,IF(S19&gt;S20,1,0))</f>
        <v>0</v>
      </c>
      <c r="BF23" s="230">
        <f t="array" ref="BF23">IF(OR(AA19:AA20="OFFICE"),0,IF(AB19&gt;AB20,1,0))</f>
        <v>0</v>
      </c>
    </row>
    <row r="24" spans="1:66" s="10" customFormat="1" ht="24.95" customHeight="1" thickBot="1">
      <c r="A24" s="565">
        <v>18</v>
      </c>
      <c r="B24" s="570" t="s">
        <v>160</v>
      </c>
      <c r="C24" s="471" t="s">
        <v>191</v>
      </c>
      <c r="D24" s="463">
        <v>20</v>
      </c>
      <c r="F24" s="488"/>
      <c r="G24" s="490"/>
      <c r="H24" s="492"/>
      <c r="I24" s="309" t="s">
        <v>82</v>
      </c>
      <c r="J24" s="12"/>
      <c r="K24" s="197">
        <f>IF(J24&gt;J23,4,0)</f>
        <v>0</v>
      </c>
      <c r="L24" s="197">
        <f t="shared" si="22"/>
        <v>0</v>
      </c>
      <c r="M24" s="197">
        <f>+J23</f>
        <v>0</v>
      </c>
      <c r="N24" s="197">
        <f>J24-J23</f>
        <v>0</v>
      </c>
      <c r="O24" s="197"/>
      <c r="P24" s="42"/>
      <c r="Q24" s="492"/>
      <c r="R24" s="309" t="s">
        <v>82</v>
      </c>
      <c r="S24" s="12"/>
      <c r="T24" s="200">
        <v>0</v>
      </c>
      <c r="U24" s="197">
        <f t="shared" si="23"/>
        <v>0</v>
      </c>
      <c r="V24" s="197">
        <f>+S23</f>
        <v>0</v>
      </c>
      <c r="W24" s="197">
        <f t="shared" ref="W24" si="61">S24-S23</f>
        <v>0</v>
      </c>
      <c r="X24" s="197"/>
      <c r="Y24" s="42"/>
      <c r="Z24" s="492"/>
      <c r="AA24" s="309" t="s">
        <v>82</v>
      </c>
      <c r="AB24" s="12"/>
      <c r="AC24" s="200">
        <v>0</v>
      </c>
      <c r="AD24" s="197">
        <f t="shared" si="24"/>
        <v>0</v>
      </c>
      <c r="AE24" s="197">
        <f>+AB23</f>
        <v>0</v>
      </c>
      <c r="AF24" s="197">
        <f t="shared" ref="AF24" si="62">AB24-AB23</f>
        <v>0</v>
      </c>
      <c r="AG24" s="197"/>
      <c r="AH24"/>
      <c r="AI24" s="325"/>
      <c r="AJ24" s="288"/>
      <c r="AK24" s="288">
        <f>SUM(AK19:AK23)</f>
        <v>0</v>
      </c>
      <c r="AL24" s="288">
        <f>SUM(AL19:AL23)</f>
        <v>0</v>
      </c>
      <c r="AM24" s="282">
        <f>SUM(AM19:AM23)</f>
        <v>0</v>
      </c>
      <c r="AN24"/>
      <c r="AO24" s="205"/>
      <c r="AP24" s="42"/>
      <c r="AQ24" s="16" t="str">
        <f t="shared" si="21"/>
        <v/>
      </c>
      <c r="AR24" s="204"/>
      <c r="AS24" s="204"/>
      <c r="AT24" s="197"/>
      <c r="AU24" s="204"/>
      <c r="AV24" s="204"/>
      <c r="AW24" s="231"/>
      <c r="AX24" s="204"/>
      <c r="AY24" s="204"/>
      <c r="AZ24" s="212"/>
      <c r="BA24" s="212"/>
      <c r="BB24" s="330"/>
      <c r="BC24" s="232">
        <f>SUM(BC19:BC23)</f>
        <v>0</v>
      </c>
      <c r="BD24" s="232">
        <f>SUM(BD19:BD23)</f>
        <v>0</v>
      </c>
      <c r="BE24" s="232">
        <f>SUM(BE19:BE23)</f>
        <v>0</v>
      </c>
      <c r="BF24" s="232">
        <f>SUM(BF19:BF23)</f>
        <v>0</v>
      </c>
    </row>
    <row r="25" spans="1:66" s="10" customFormat="1" ht="24.95" customHeight="1">
      <c r="A25" s="565">
        <v>19</v>
      </c>
      <c r="B25" s="571" t="s">
        <v>131</v>
      </c>
      <c r="C25" s="382" t="s">
        <v>132</v>
      </c>
      <c r="D25" s="463">
        <v>21</v>
      </c>
      <c r="F25" s="486">
        <v>4</v>
      </c>
      <c r="G25" s="14">
        <v>10</v>
      </c>
      <c r="H25" s="484">
        <v>7</v>
      </c>
      <c r="I25" s="390" t="str">
        <f>IF(ISNA(MATCH(G25,$D$7:$D$50,0)),"",INDEX($B$7:$B$50,MATCH(G25,$D$7:$D$50,0)))</f>
        <v>CHARBONNIER Daniel</v>
      </c>
      <c r="J25" s="7"/>
      <c r="K25" s="194">
        <f>IF(J25&gt;J26,4,0)</f>
        <v>0</v>
      </c>
      <c r="L25" s="194">
        <f t="shared" si="22"/>
        <v>0</v>
      </c>
      <c r="M25" s="194">
        <f>+J26</f>
        <v>0</v>
      </c>
      <c r="N25" s="194">
        <f>J25-J26</f>
        <v>0</v>
      </c>
      <c r="O25" s="194">
        <f>K25/4</f>
        <v>0</v>
      </c>
      <c r="P25" s="9"/>
      <c r="Q25" s="485">
        <v>5</v>
      </c>
      <c r="R25" s="315" t="str">
        <f>+I29</f>
        <v>TRIN Serge</v>
      </c>
      <c r="S25" s="7"/>
      <c r="T25" s="194">
        <f>IF(S25&gt;S26,4,0)</f>
        <v>0</v>
      </c>
      <c r="U25" s="194">
        <f t="shared" si="23"/>
        <v>0</v>
      </c>
      <c r="V25" s="194">
        <f>+S26</f>
        <v>0</v>
      </c>
      <c r="W25" s="194">
        <f>S25-S26</f>
        <v>0</v>
      </c>
      <c r="X25" s="194">
        <f>T25/4</f>
        <v>0</v>
      </c>
      <c r="Z25" s="485">
        <v>1</v>
      </c>
      <c r="AA25" s="321" t="str">
        <f>+R25</f>
        <v>TRIN Serge</v>
      </c>
      <c r="AB25" s="7"/>
      <c r="AC25" s="194">
        <f>IF(AB25&gt;AB26,4,0)</f>
        <v>0</v>
      </c>
      <c r="AD25" s="194">
        <f t="shared" si="24"/>
        <v>0</v>
      </c>
      <c r="AE25" s="194">
        <f>+AB26</f>
        <v>0</v>
      </c>
      <c r="AF25" s="194">
        <f>AB25-AB26</f>
        <v>0</v>
      </c>
      <c r="AG25" s="194">
        <f>AC25/4</f>
        <v>0</v>
      </c>
      <c r="AH25"/>
      <c r="AI25" s="322" t="str">
        <f>IF(J25&lt;&gt;"",I25," ")</f>
        <v xml:space="preserve"> </v>
      </c>
      <c r="AJ25" s="291">
        <f>SUM(IFERROR(VLOOKUP(AI25,$I$25:$K$30,3,0),0),IFERROR(VLOOKUP(AI25,$R$25:$T$30,3,0),0),IFERROR(VLOOKUP(AI25,$AA$25:$AC$30,3,0),0))</f>
        <v>0</v>
      </c>
      <c r="AK25" s="278">
        <f>SUM(IFERROR(VLOOKUP(AI25,$I$25:$N$30,6,0),0),IFERROR(VLOOKUP(AI25,$R$25:$W$30,6,0),0),IFERROR(VLOOKUP(AI25,$AA$25:$AF$30,6,0),0))</f>
        <v>0</v>
      </c>
      <c r="AL25" s="283">
        <f>SUM(IFERROR(VLOOKUP(AI25,$I$25:$M$30,4,0),0),IFERROR(VLOOKUP(AI25,$R$25:$V$30,4,0),0),IFERROR(VLOOKUP(AI25,$AA$25:$AE$30,4,0),0))</f>
        <v>0</v>
      </c>
      <c r="AM25" s="283">
        <f>SUM(IFERROR(VLOOKUP(AI25,$I$25:$M$30,5,0),0),IFERROR(VLOOKUP(AI25,$R$25:$V$30,5,0),0),IFERROR(VLOOKUP(AI25,$AA$25:$AE$30,5,0),0))</f>
        <v>0</v>
      </c>
      <c r="AN25"/>
      <c r="AO25" s="207">
        <v>0</v>
      </c>
      <c r="AP25" s="2"/>
      <c r="AQ25" s="16">
        <f>IF(OR(AI25="",AJ25=""),"",RANK(AJ25,$AJ$25:$AJ$29)+SUM(-AK25/1000)-(+AL25/10000)-(+AO25/100000)-(-AM25/1000000)+COUNTIF(AI$25:AI$29,"&lt;="&amp;AI25+1)/10000000000+ROW()/100000000000)</f>
        <v>1.00000000025</v>
      </c>
      <c r="AR25" s="41">
        <f>IF(AI25="","",SMALL(AQ$25:AQ$30,ROWS(AJ$25:AJ25)))</f>
        <v>0.99999000029000007</v>
      </c>
      <c r="AS25" s="194"/>
      <c r="AT25" s="206">
        <f>IF(AR25="","",1)</f>
        <v>1</v>
      </c>
      <c r="AU25" s="299" t="str">
        <f>IF(OR(AI25="",AJ25=""),"",INDEX($AI$25:$AI$30,MATCH(AR25,$AQ$25:$AQ$30,0)))</f>
        <v xml:space="preserve"> </v>
      </c>
      <c r="AV25" s="209">
        <f>IF(OR(AI25="",AJ25=""),"",INDEX($AJ$25:$AJ$30,MATCH(AR25,$AQ$25:$AQ$30,0)))</f>
        <v>0</v>
      </c>
      <c r="AW25" s="210">
        <f>IF(OR(AI25="",AK25=""),"",INDEX($AK$25:$AK$30,MATCH(AR25,$AQ$25:$AQ$30,0)))</f>
        <v>0</v>
      </c>
      <c r="AX25" s="233">
        <f>IF(OR(AI25="",AL25=""),"",INDEX($AL$25:$AL$30,MATCH(AR25,$AQ$25:$AQ$30,0)))</f>
        <v>0</v>
      </c>
      <c r="AY25" s="209">
        <f>IF(OR(AI25="",AM25=""),"",INDEX($AM$25:$AM$30,MATCH(AR25,$AQ$25:$AQ$30,0)))</f>
        <v>0</v>
      </c>
      <c r="AZ25" s="210">
        <f>IF(OR(AI25="",AO25=""),"",INDEX($AO$25:$AO$29,MATCH(AR25,$AQ$25:$AQ$29,0)))</f>
        <v>1</v>
      </c>
      <c r="BA25" s="212"/>
      <c r="BB25" s="326" t="str">
        <f>I25</f>
        <v>CHARBONNIER Daniel</v>
      </c>
      <c r="BC25" s="213">
        <f>SUM(BD25:BF25)</f>
        <v>0</v>
      </c>
      <c r="BD25" s="214">
        <f t="array" ref="BD25">IF(OR(I25:I26="OFFICE"),0,IF(J25&gt;J26,1,0))</f>
        <v>0</v>
      </c>
      <c r="BE25" s="215">
        <f t="array" ref="BE25">IF(OR(R27:R28="OFFICE"),0,IF(S27&gt;S28,1,0))</f>
        <v>0</v>
      </c>
      <c r="BF25" s="216">
        <f t="array" ref="BF25">IF(OR(AA29:AA30="OFFICE"),0,IF(AB29&gt;AB30,1,0))</f>
        <v>0</v>
      </c>
    </row>
    <row r="26" spans="1:66" s="10" customFormat="1" ht="24.95" customHeight="1" thickBot="1">
      <c r="A26" s="565">
        <v>20</v>
      </c>
      <c r="B26" s="571" t="s">
        <v>117</v>
      </c>
      <c r="C26" s="385" t="s">
        <v>116</v>
      </c>
      <c r="D26" s="463">
        <v>6</v>
      </c>
      <c r="F26" s="487"/>
      <c r="G26" s="15">
        <v>31</v>
      </c>
      <c r="H26" s="494"/>
      <c r="I26" s="306" t="str">
        <f>IF(ISNA(MATCH(G26,$D$7:$D$50,0)),"",INDEX($B$7:$B$50,MATCH(G26,$D$7:$D$50,0)))</f>
        <v>BROUSSARD David</v>
      </c>
      <c r="J26" s="12"/>
      <c r="K26" s="194">
        <f>IF(J26&gt;J25,4,0)</f>
        <v>0</v>
      </c>
      <c r="L26" s="194">
        <f t="shared" si="22"/>
        <v>0</v>
      </c>
      <c r="M26" s="194">
        <f>+J25</f>
        <v>0</v>
      </c>
      <c r="N26" s="194">
        <f>J26-J25</f>
        <v>0</v>
      </c>
      <c r="O26" s="194">
        <f>K26/4</f>
        <v>0</v>
      </c>
      <c r="P26" s="9"/>
      <c r="Q26" s="494"/>
      <c r="R26" s="311" t="str">
        <f>+I26</f>
        <v>BROUSSARD David</v>
      </c>
      <c r="S26" s="12"/>
      <c r="T26" s="194">
        <f>IF(S26&gt;S25,4,0)</f>
        <v>0</v>
      </c>
      <c r="U26" s="194">
        <f t="shared" si="23"/>
        <v>0</v>
      </c>
      <c r="V26" s="194">
        <f>+S25</f>
        <v>0</v>
      </c>
      <c r="W26" s="194">
        <f>S26-S25</f>
        <v>0</v>
      </c>
      <c r="X26" s="194">
        <f>T26/4</f>
        <v>0</v>
      </c>
      <c r="Z26" s="494"/>
      <c r="AA26" s="317" t="str">
        <f>+R29</f>
        <v>BESSON Alain</v>
      </c>
      <c r="AB26" s="12"/>
      <c r="AC26" s="194">
        <f>IF(AB26&gt;AB25,4,0)</f>
        <v>0</v>
      </c>
      <c r="AD26" s="194">
        <f t="shared" si="24"/>
        <v>0</v>
      </c>
      <c r="AE26" s="194">
        <f>+AB25</f>
        <v>0</v>
      </c>
      <c r="AF26" s="194">
        <f>AB26-AB25</f>
        <v>0</v>
      </c>
      <c r="AG26" s="194">
        <f>AC26/4</f>
        <v>0</v>
      </c>
      <c r="AH26"/>
      <c r="AI26" s="323" t="str">
        <f t="shared" ref="AI26:AI29" si="63">IF(J26&lt;&gt;"",I26," ")</f>
        <v xml:space="preserve"> </v>
      </c>
      <c r="AJ26" s="292">
        <f t="shared" ref="AJ26:AJ29" si="64">SUM(IFERROR(VLOOKUP(AI26,$I$25:$K$30,3,0),0),IFERROR(VLOOKUP(AI26,$R$25:$T$30,3,0),0),IFERROR(VLOOKUP(AI26,$AA$25:$AC$30,3,0),0))</f>
        <v>0</v>
      </c>
      <c r="AK26" s="279">
        <f t="shared" ref="AK26:AK29" si="65">SUM(IFERROR(VLOOKUP(AI26,$I$25:$N$30,6,0),0),IFERROR(VLOOKUP(AI26,$R$25:$W$30,6,0),0),IFERROR(VLOOKUP(AI26,$AA$25:$AF$30,6,0),0))</f>
        <v>0</v>
      </c>
      <c r="AL26" s="284">
        <f t="shared" ref="AL26:AL29" si="66">SUM(IFERROR(VLOOKUP(AI26,$I$25:$M$30,4,0),0),IFERROR(VLOOKUP(AI26,$R$25:$V$30,4,0),0),IFERROR(VLOOKUP(AI26,$AA$25:$AE$30,4,0),0))</f>
        <v>0</v>
      </c>
      <c r="AM26" s="284">
        <f t="shared" ref="AM26:AM29" si="67">SUM(IFERROR(VLOOKUP(AI26,$I$25:$M$30,5,0),0),IFERROR(VLOOKUP(AI26,$R$25:$V$30,5,0),0),IFERROR(VLOOKUP(AI26,$AA$25:$AE$30,5,0),0))</f>
        <v>0</v>
      </c>
      <c r="AN26"/>
      <c r="AO26" s="202">
        <v>0</v>
      </c>
      <c r="AP26" s="2"/>
      <c r="AQ26" s="16">
        <f t="shared" ref="AQ26:AQ57" si="68">IF(OR(AI26="",AJ26=""),"",RANK(AJ26,$AJ$25:$AJ$29)+SUM(-AK26/1000)-(+AL26/10000)-(+AO26/100000)-(-AM26/1000000)+COUNTIF(AI$25:AI$29,"&lt;="&amp;AI26+1)/10000000000+ROW()/100000000000)</f>
        <v>1.00000000026</v>
      </c>
      <c r="AR26" s="17">
        <f>IF(AI26="","",SMALL(AQ$25:AQ$30,ROWS(AJ$25:AJ26)))</f>
        <v>1.00000000025</v>
      </c>
      <c r="AS26" s="194"/>
      <c r="AT26" s="208">
        <f>IF(AR26="","",IF(AND(AV25=AV26,AX25=AX26,AY25=AY26,AW26=AW25,AZ26=AZ25),AT25,$AT$7+1))</f>
        <v>2</v>
      </c>
      <c r="AU26" s="300" t="str">
        <f>IF(OR(AI26="",AJ26=""),"",INDEX($AI$25:$AI$30,MATCH(AR26,$AQ$25:$AQ$30,0)))</f>
        <v xml:space="preserve"> </v>
      </c>
      <c r="AV26" s="217">
        <f>IF(OR(AI26="",AJ26=""),"",INDEX($AJ$25:$AJ$30,MATCH(AR26,$AQ$25:$AQ$30,0)))</f>
        <v>0</v>
      </c>
      <c r="AW26" s="210">
        <f t="shared" ref="AW26:AW29" si="69">IF(OR(AI26="",AK26=""),"",INDEX($AK$25:$AK$30,MATCH(AR26,$AQ$25:$AQ$30,0)))</f>
        <v>0</v>
      </c>
      <c r="AX26" s="234">
        <f>IF(OR(AI26="",AL26=""),"",INDEX($AL$25:$AL$30,MATCH(AR26,$AQ$25:$AQ$30,0)))</f>
        <v>0</v>
      </c>
      <c r="AY26" s="217">
        <f>IF(OR(AI26="",AM26=""),"",INDEX($AM$25:$AM$30,MATCH(AR26,$AQ$25:$AQ$30,0)))</f>
        <v>0</v>
      </c>
      <c r="AZ26" s="210">
        <f>IF(OR(AI26="",AO26=""),"",INDEX($AO$25:$AO$29,MATCH(AR26,$AQ$25:$AQ$29,0)))</f>
        <v>0</v>
      </c>
      <c r="BA26" s="212"/>
      <c r="BB26" s="327" t="str">
        <f>+I26</f>
        <v>BROUSSARD David</v>
      </c>
      <c r="BC26" s="218">
        <f t="shared" ref="BC26:BC29" si="70">SUM(BD26:BF26)</f>
        <v>0</v>
      </c>
      <c r="BD26" s="219">
        <f t="array" ref="BD26">IF(OR(I25:I26="OFFICE"),0,IF(J26&gt;J25,1,0))</f>
        <v>0</v>
      </c>
      <c r="BE26" s="188">
        <f t="array" ref="BE26">IF(OR(R25:R26="OFFICE"),0,IF(S25&lt;S26,1,0))</f>
        <v>0</v>
      </c>
      <c r="BF26" s="220" cm="1">
        <f t="array" ref="BF26">IF(OR(AA27:AA28="OFFICE"),0,IF(AB27&gt;AB28,1,0))</f>
        <v>0</v>
      </c>
    </row>
    <row r="27" spans="1:66" s="10" customFormat="1" ht="24.95" customHeight="1">
      <c r="A27" s="565">
        <v>21</v>
      </c>
      <c r="B27" s="571" t="s">
        <v>171</v>
      </c>
      <c r="C27" s="386" t="s">
        <v>170</v>
      </c>
      <c r="D27" s="463">
        <v>8</v>
      </c>
      <c r="F27" s="487"/>
      <c r="G27" s="15">
        <v>11</v>
      </c>
      <c r="H27" s="484">
        <v>8</v>
      </c>
      <c r="I27" s="390" t="str">
        <f>IF(ISNA(MATCH(G27,$D$7:$D$50,0)),"",INDEX($B$7:$B$50,MATCH(G27,$D$7:$D$50,0)))</f>
        <v>BESSON Alain</v>
      </c>
      <c r="J27" s="7"/>
      <c r="K27" s="194">
        <f>IF(J27&gt;J28,4,0)</f>
        <v>0</v>
      </c>
      <c r="L27" s="194">
        <f t="shared" si="22"/>
        <v>0</v>
      </c>
      <c r="M27" s="194">
        <f>+J28</f>
        <v>0</v>
      </c>
      <c r="N27" s="194">
        <f t="shared" ref="N27" si="71">J27-J28</f>
        <v>0</v>
      </c>
      <c r="O27" s="194">
        <f>K27/4</f>
        <v>0</v>
      </c>
      <c r="P27" s="9"/>
      <c r="Q27" s="484">
        <v>6</v>
      </c>
      <c r="R27" s="312" t="str">
        <f>+I25</f>
        <v>CHARBONNIER Daniel</v>
      </c>
      <c r="S27" s="7"/>
      <c r="T27" s="194">
        <f>IF(S27&gt;S28,4,0)</f>
        <v>0</v>
      </c>
      <c r="U27" s="194">
        <f t="shared" si="23"/>
        <v>0</v>
      </c>
      <c r="V27" s="194">
        <f>+S28</f>
        <v>0</v>
      </c>
      <c r="W27" s="194">
        <f t="shared" ref="W27" si="72">S27-S28</f>
        <v>0</v>
      </c>
      <c r="X27" s="194">
        <f>T27/4</f>
        <v>0</v>
      </c>
      <c r="Z27" s="484">
        <v>2</v>
      </c>
      <c r="AA27" s="316" t="str">
        <f>+R26</f>
        <v>BROUSSARD David</v>
      </c>
      <c r="AB27" s="7"/>
      <c r="AC27" s="194">
        <f>IF(AB27&gt;AB28,4,0)</f>
        <v>0</v>
      </c>
      <c r="AD27" s="194">
        <f t="shared" si="24"/>
        <v>0</v>
      </c>
      <c r="AE27" s="194">
        <f>+AB28</f>
        <v>0</v>
      </c>
      <c r="AF27" s="194">
        <f>AB27-AB28</f>
        <v>0</v>
      </c>
      <c r="AG27" s="194">
        <f>AC27/4</f>
        <v>0</v>
      </c>
      <c r="AH27"/>
      <c r="AI27" s="323" t="str">
        <f t="shared" si="63"/>
        <v xml:space="preserve"> </v>
      </c>
      <c r="AJ27" s="292">
        <f t="shared" si="64"/>
        <v>0</v>
      </c>
      <c r="AK27" s="279">
        <f t="shared" si="65"/>
        <v>0</v>
      </c>
      <c r="AL27" s="284">
        <f t="shared" si="66"/>
        <v>0</v>
      </c>
      <c r="AM27" s="284">
        <f t="shared" si="67"/>
        <v>0</v>
      </c>
      <c r="AN27"/>
      <c r="AO27" s="202">
        <v>0</v>
      </c>
      <c r="AP27" s="2"/>
      <c r="AQ27" s="16">
        <f t="shared" si="68"/>
        <v>1.00000000027</v>
      </c>
      <c r="AR27" s="17">
        <f>IF(AI27="","",SMALL(AQ$25:AQ$30,ROWS(AJ$25:AJ27)))</f>
        <v>1.00000000026</v>
      </c>
      <c r="AS27" s="194"/>
      <c r="AT27" s="208">
        <f>IF(AR27="","",IF(AND(AV26=AV27,AX26=AX27,AY26=AY27,AW27=AW26,AZ27=AZ26),AT26,$AT$7+2))</f>
        <v>2</v>
      </c>
      <c r="AU27" s="300" t="str">
        <f>IF(OR(AI27="",AJ27=""),"",INDEX($AI$25:$AI$30,MATCH(AR27,$AQ$25:$AQ$30,0)))</f>
        <v xml:space="preserve"> </v>
      </c>
      <c r="AV27" s="217">
        <f>IF(OR(AI27="",AJ27=""),"",INDEX($AJ$25:$AJ$30,MATCH(AR27,$AQ$25:$AQ$30,0)))</f>
        <v>0</v>
      </c>
      <c r="AW27" s="210">
        <f t="shared" si="69"/>
        <v>0</v>
      </c>
      <c r="AX27" s="234">
        <f>IF(OR(AI27="",AL27=""),"",INDEX($AL$25:$AL$30,MATCH(AR27,$AQ$25:$AQ$30,0)))</f>
        <v>0</v>
      </c>
      <c r="AY27" s="217">
        <f>IF(OR(AI27="",AM27=""),"",INDEX($AM$25:$AM$30,MATCH(AR27,$AQ$25:$AQ$30,0)))</f>
        <v>0</v>
      </c>
      <c r="AZ27" s="210">
        <f>IF(OR(AI27="",AO27=""),"",INDEX($AO$25:$AO$29,MATCH(AR27,$AQ$25:$AQ$29,0)))</f>
        <v>0</v>
      </c>
      <c r="BA27" s="212"/>
      <c r="BB27" s="327" t="str">
        <f>+I27</f>
        <v>BESSON Alain</v>
      </c>
      <c r="BC27" s="218">
        <f t="shared" si="70"/>
        <v>0</v>
      </c>
      <c r="BD27" s="219">
        <f t="array" ref="BD27">IF(OR(I27:I28="OFFICE"),0,IF(J27&gt;J28,1,0))</f>
        <v>0</v>
      </c>
      <c r="BE27" s="188">
        <f t="array" ref="BE27">IF(OR(R29:R30="OFFICE"),0,IF(S29&gt;S30,1,0))</f>
        <v>0</v>
      </c>
      <c r="BF27" s="220" cm="1">
        <f t="array" ref="BF27">IF(OR(AA25:AA26="OFFICE"),0,IF(AB26&gt;AB25,1,0))</f>
        <v>0</v>
      </c>
    </row>
    <row r="28" spans="1:66" s="10" customFormat="1" ht="24.95" customHeight="1" thickBot="1">
      <c r="A28" s="565">
        <v>22</v>
      </c>
      <c r="B28" s="570" t="s">
        <v>166</v>
      </c>
      <c r="C28" s="471" t="s">
        <v>130</v>
      </c>
      <c r="D28" s="463">
        <v>7</v>
      </c>
      <c r="F28" s="487"/>
      <c r="G28" s="15">
        <v>32</v>
      </c>
      <c r="H28" s="494"/>
      <c r="I28" s="306" t="str">
        <f>IF(ISNA(MATCH(G28,$D$7:$D$50,0)),"",INDEX($B$7:$B$50,MATCH(G28,$D$7:$D$50,0)))</f>
        <v>BARD Philippe</v>
      </c>
      <c r="J28" s="11"/>
      <c r="K28" s="194">
        <f>IF(J28&gt;J27,4,0)</f>
        <v>0</v>
      </c>
      <c r="L28" s="194">
        <f t="shared" si="22"/>
        <v>0</v>
      </c>
      <c r="M28" s="194">
        <f>+J27</f>
        <v>0</v>
      </c>
      <c r="N28" s="194">
        <f>J28-J27</f>
        <v>0</v>
      </c>
      <c r="O28" s="194">
        <f>K28/4</f>
        <v>0</v>
      </c>
      <c r="P28" s="9"/>
      <c r="Q28" s="485"/>
      <c r="R28" s="313" t="str">
        <f>+I28</f>
        <v>BARD Philippe</v>
      </c>
      <c r="S28" s="11"/>
      <c r="T28" s="194">
        <f>IF(S28&gt;S27,4,0)</f>
        <v>0</v>
      </c>
      <c r="U28" s="194">
        <f t="shared" si="23"/>
        <v>0</v>
      </c>
      <c r="V28" s="194">
        <f>+S27</f>
        <v>0</v>
      </c>
      <c r="W28" s="194">
        <f t="shared" ref="W28" si="73">S28-S27</f>
        <v>0</v>
      </c>
      <c r="X28" s="194">
        <f>T28/4</f>
        <v>0</v>
      </c>
      <c r="Z28" s="485"/>
      <c r="AA28" s="318" t="str">
        <f>+R28</f>
        <v>BARD Philippe</v>
      </c>
      <c r="AB28" s="12"/>
      <c r="AC28" s="194">
        <f>IF(AB28&gt;AB27,4,0)</f>
        <v>0</v>
      </c>
      <c r="AD28" s="194">
        <f t="shared" si="24"/>
        <v>0</v>
      </c>
      <c r="AE28" s="194">
        <f>+AB27</f>
        <v>0</v>
      </c>
      <c r="AF28" s="194">
        <f>AB28-AB27</f>
        <v>0</v>
      </c>
      <c r="AG28" s="194">
        <f>AC28/4</f>
        <v>0</v>
      </c>
      <c r="AH28"/>
      <c r="AI28" s="323" t="str">
        <f t="shared" si="63"/>
        <v xml:space="preserve"> </v>
      </c>
      <c r="AJ28" s="292">
        <f t="shared" si="64"/>
        <v>0</v>
      </c>
      <c r="AK28" s="279">
        <f t="shared" si="65"/>
        <v>0</v>
      </c>
      <c r="AL28" s="284">
        <f t="shared" si="66"/>
        <v>0</v>
      </c>
      <c r="AM28" s="284">
        <f t="shared" si="67"/>
        <v>0</v>
      </c>
      <c r="AN28"/>
      <c r="AO28" s="202">
        <v>0</v>
      </c>
      <c r="AP28" s="2"/>
      <c r="AQ28" s="16">
        <f t="shared" si="68"/>
        <v>1.00000000028</v>
      </c>
      <c r="AR28" s="17">
        <f>IF(AI28="","",SMALL(AQ$25:AQ$30,ROWS(AJ$25:AJ28)))</f>
        <v>1.00000000027</v>
      </c>
      <c r="AS28" s="194"/>
      <c r="AT28" s="208">
        <f>IF(AR28="","",IF(AND(AV27=AV28,AX27=AX28,AY27=AY28,AW28=AW27,AZ28=AZ27),AT27,$AT$7+3))</f>
        <v>2</v>
      </c>
      <c r="AU28" s="301" t="str">
        <f>IF(OR(AI28="",AJ28=""),"",INDEX($AI$25:$AI$30,MATCH(AR28,$AQ$25:$AQ$30,0)))</f>
        <v xml:space="preserve"> </v>
      </c>
      <c r="AV28" s="222">
        <f>IF(OR(AI28="",AJ28=""),"",INDEX($AJ$25:$AJ$30,MATCH(AR28,$AQ$25:$AQ$30,0)))</f>
        <v>0</v>
      </c>
      <c r="AW28" s="210">
        <f t="shared" si="69"/>
        <v>0</v>
      </c>
      <c r="AX28" s="235">
        <f>IF(OR(AI28="",AL28=""),"",INDEX($AL$25:$AL$30,MATCH(AR28,$AQ$25:$AQ$30,0)))</f>
        <v>0</v>
      </c>
      <c r="AY28" s="222">
        <f>IF(OR(AI28="",AM28=""),"",INDEX($AM$25:$AM$30,MATCH(AR28,$AQ$25:$AQ$30,0)))</f>
        <v>0</v>
      </c>
      <c r="AZ28" s="210">
        <f>IF(OR(AI28="",AO28=""),"",INDEX($AO$25:$AO$29,MATCH(AR28,$AQ$25:$AQ$29,0)))</f>
        <v>0</v>
      </c>
      <c r="BA28" s="212"/>
      <c r="BB28" s="328" t="str">
        <f>+I28</f>
        <v>BARD Philippe</v>
      </c>
      <c r="BC28" s="223">
        <f t="shared" si="70"/>
        <v>0</v>
      </c>
      <c r="BD28" s="219">
        <f t="array" ref="BD28">IF(OR(I27:I28="OFFICE"),0,IF(J27&lt;J28,1,0))</f>
        <v>0</v>
      </c>
      <c r="BE28" s="224" cm="1">
        <f t="array" ref="BE28">IF(OR(R27:R28="OFFICE"),0,IF(S27&lt;S28,1,0))</f>
        <v>0</v>
      </c>
      <c r="BF28" s="225">
        <f t="array" ref="BF28">IF(OR(AA27:AA28="OFFICE"),0,IF(AB27&lt;AB28,1,0))</f>
        <v>0</v>
      </c>
    </row>
    <row r="29" spans="1:66" s="10" customFormat="1" ht="24.95" customHeight="1" thickBot="1">
      <c r="A29" s="565">
        <v>23</v>
      </c>
      <c r="B29" s="572" t="s">
        <v>136</v>
      </c>
      <c r="C29" s="474" t="s">
        <v>137</v>
      </c>
      <c r="D29" s="463">
        <v>2</v>
      </c>
      <c r="F29" s="487"/>
      <c r="G29" s="489">
        <v>12</v>
      </c>
      <c r="H29" s="491"/>
      <c r="I29" s="307" t="str">
        <f>IF(ISNA(MATCH(G29,$D$7:$D$50,0)),"",INDEX($B$7:$B$50,MATCH(G29,$D$7:$D$50,0)))</f>
        <v>TRIN Serge</v>
      </c>
      <c r="J29" s="7"/>
      <c r="K29" s="198">
        <f>IF(J29&gt;J30,4,0)</f>
        <v>0</v>
      </c>
      <c r="L29" s="194">
        <f t="shared" si="22"/>
        <v>0</v>
      </c>
      <c r="M29" s="194">
        <f>+J30</f>
        <v>0</v>
      </c>
      <c r="N29" s="194">
        <f t="shared" ref="N29" si="74">J29-J30</f>
        <v>0</v>
      </c>
      <c r="O29" s="195">
        <v>0</v>
      </c>
      <c r="P29" s="9"/>
      <c r="Q29" s="493"/>
      <c r="R29" s="314" t="str">
        <f>+I27</f>
        <v>BESSON Alain</v>
      </c>
      <c r="S29" s="7"/>
      <c r="T29" s="194">
        <f>IF(S29&gt;S30,4,0)</f>
        <v>0</v>
      </c>
      <c r="U29" s="194">
        <f t="shared" si="23"/>
        <v>0</v>
      </c>
      <c r="V29" s="194">
        <f>+S30</f>
        <v>0</v>
      </c>
      <c r="W29" s="194">
        <f t="shared" ref="W29" si="75">S29-S30</f>
        <v>0</v>
      </c>
      <c r="X29" s="195">
        <v>0</v>
      </c>
      <c r="Y29" s="40"/>
      <c r="Z29" s="493"/>
      <c r="AA29" s="319" t="str">
        <f>+R27</f>
        <v>CHARBONNIER Daniel</v>
      </c>
      <c r="AB29" s="7"/>
      <c r="AC29" s="194">
        <f>IF(AB29&gt;AB30,4,0)</f>
        <v>0</v>
      </c>
      <c r="AD29" s="194">
        <f t="shared" si="24"/>
        <v>0</v>
      </c>
      <c r="AE29" s="194">
        <f>+AB30</f>
        <v>0</v>
      </c>
      <c r="AF29" s="194">
        <f t="shared" ref="AF29" si="76">AB29-AB30</f>
        <v>0</v>
      </c>
      <c r="AG29" s="195">
        <v>0</v>
      </c>
      <c r="AH29"/>
      <c r="AI29" s="324" t="str">
        <f t="shared" si="63"/>
        <v xml:space="preserve"> </v>
      </c>
      <c r="AJ29" s="290">
        <f t="shared" si="64"/>
        <v>0</v>
      </c>
      <c r="AK29" s="280">
        <f t="shared" si="65"/>
        <v>0</v>
      </c>
      <c r="AL29" s="285">
        <f t="shared" si="66"/>
        <v>0</v>
      </c>
      <c r="AM29" s="285">
        <f t="shared" si="67"/>
        <v>0</v>
      </c>
      <c r="AN29"/>
      <c r="AO29" s="203">
        <v>1</v>
      </c>
      <c r="AP29" s="2"/>
      <c r="AQ29" s="16">
        <f t="shared" si="68"/>
        <v>0.99999000029000007</v>
      </c>
      <c r="AR29" s="17">
        <f>IF(AI29="","",SMALL(AQ$25:AQ$30,ROWS(AJ$25:AJ29)))</f>
        <v>1.00000000028</v>
      </c>
      <c r="AS29" s="194"/>
      <c r="AT29" s="178">
        <f>IF(AR29="","",IF(AND(AV28=AV29,AX28=AX29,AY28=AY29,AW29=AW28,AZ29=AZ28),AT28,$AT$7+4))</f>
        <v>2</v>
      </c>
      <c r="AU29" s="302" t="str">
        <f>IF(OR(AI29="",AJ29=""),"",INDEX($AI$25:$AI$30,MATCH(AR29,$AQ$25:$AQ$30,0)))</f>
        <v xml:space="preserve"> </v>
      </c>
      <c r="AV29" s="226">
        <f>IF(OR(AI29="",AJ29=""),"",INDEX($AJ$25:$AJ$30,MATCH(AR29,$AQ$25:$AQ$30,0)))</f>
        <v>0</v>
      </c>
      <c r="AW29" s="210">
        <f t="shared" si="69"/>
        <v>0</v>
      </c>
      <c r="AX29" s="236">
        <f>IF(OR(AI29="",AL29=""),"",INDEX($AL$25:$AL$30,MATCH(AR29,$AQ$25:$AQ$30,0)))</f>
        <v>0</v>
      </c>
      <c r="AY29" s="226">
        <f>IF(OR(AI29="",AM29=""),"",INDEX($AM$25:$AM$30,MATCH(AR29,$AQ$25:$AQ$30,0)))</f>
        <v>0</v>
      </c>
      <c r="AZ29" s="210">
        <f>IF(OR(AI29="",AO29=""),"",INDEX($AO$25:$AO$29,MATCH(AR29,$AQ$25:$AQ$29,0)))</f>
        <v>0</v>
      </c>
      <c r="BA29" s="212"/>
      <c r="BB29" s="329" t="str">
        <f>+I29</f>
        <v>TRIN Serge</v>
      </c>
      <c r="BC29" s="227">
        <f t="shared" si="70"/>
        <v>0</v>
      </c>
      <c r="BD29" s="228">
        <f t="array" ref="BD29">IF(OR(I29:I30="OFFICE"),0,IF(J29&gt;J30,1,0))</f>
        <v>0</v>
      </c>
      <c r="BE29" s="229">
        <f t="array" ref="BE29">IF(OR(R25:R26="OFFICE"),0,IF(S25&gt;S26,1,0))</f>
        <v>0</v>
      </c>
      <c r="BF29" s="230" cm="1">
        <f t="array" ref="BF29">IF(OR(AA25:AA26="OFFICE"),0,IF(AB25&gt;AB26,1,0))</f>
        <v>0</v>
      </c>
    </row>
    <row r="30" spans="1:66" s="240" customFormat="1" ht="24.95" customHeight="1" thickBot="1">
      <c r="A30" s="566">
        <v>24</v>
      </c>
      <c r="B30" s="578" t="s">
        <v>158</v>
      </c>
      <c r="C30" s="475" t="s">
        <v>189</v>
      </c>
      <c r="D30" s="464">
        <v>12</v>
      </c>
      <c r="F30" s="488"/>
      <c r="G30" s="490"/>
      <c r="H30" s="492"/>
      <c r="I30" s="309" t="s">
        <v>82</v>
      </c>
      <c r="J30" s="12"/>
      <c r="K30" s="196">
        <f>IF(J30&gt;J29,4,0)</f>
        <v>0</v>
      </c>
      <c r="L30" s="197">
        <f t="shared" si="22"/>
        <v>0</v>
      </c>
      <c r="M30" s="197">
        <f>+J29</f>
        <v>0</v>
      </c>
      <c r="N30" s="197">
        <f>J30-J29</f>
        <v>0</v>
      </c>
      <c r="O30" s="197"/>
      <c r="P30" s="42"/>
      <c r="Q30" s="492"/>
      <c r="R30" s="309" t="s">
        <v>82</v>
      </c>
      <c r="S30" s="12"/>
      <c r="T30" s="200">
        <v>0</v>
      </c>
      <c r="U30" s="197">
        <f t="shared" si="23"/>
        <v>0</v>
      </c>
      <c r="V30" s="197">
        <f>+S29</f>
        <v>0</v>
      </c>
      <c r="W30" s="197">
        <f t="shared" ref="W30" si="77">S30-S29</f>
        <v>0</v>
      </c>
      <c r="X30" s="197"/>
      <c r="Y30" s="42"/>
      <c r="Z30" s="492"/>
      <c r="AA30" s="165" t="s">
        <v>82</v>
      </c>
      <c r="AB30" s="12"/>
      <c r="AC30" s="200">
        <v>0</v>
      </c>
      <c r="AD30" s="197">
        <f t="shared" si="24"/>
        <v>0</v>
      </c>
      <c r="AE30" s="197">
        <f>+AB29</f>
        <v>0</v>
      </c>
      <c r="AF30" s="197">
        <f t="shared" ref="AF30" si="78">AB30-AB29</f>
        <v>0</v>
      </c>
      <c r="AG30" s="197"/>
      <c r="AH30"/>
      <c r="AI30" s="42"/>
      <c r="AJ30" s="193"/>
      <c r="AK30" s="193"/>
      <c r="AL30" s="193"/>
      <c r="AM30" s="193"/>
      <c r="AN30"/>
      <c r="AO30" s="168"/>
      <c r="AP30" s="42"/>
      <c r="AQ30" s="19"/>
      <c r="AR30" s="204"/>
      <c r="AS30" s="204"/>
      <c r="AT30" s="197"/>
      <c r="AU30" s="204"/>
      <c r="AV30" s="204"/>
      <c r="AW30" s="204"/>
      <c r="AX30" s="204"/>
      <c r="AY30" s="204"/>
      <c r="AZ30" s="476"/>
      <c r="BA30" s="212"/>
      <c r="BB30" s="212"/>
      <c r="BC30" s="238">
        <f>SUM(BC25:BC29)</f>
        <v>0</v>
      </c>
      <c r="BD30" s="238">
        <f>SUM(BD25:BD29)</f>
        <v>0</v>
      </c>
      <c r="BE30" s="238">
        <f>SUM(BE25:BE29)</f>
        <v>0</v>
      </c>
      <c r="BF30" s="238">
        <f>SUM(BF25:BF29)</f>
        <v>0</v>
      </c>
    </row>
    <row r="31" spans="1:66" s="10" customFormat="1" ht="24.95" customHeight="1" thickBot="1">
      <c r="A31" s="576"/>
      <c r="B31" s="579"/>
      <c r="C31" s="468"/>
      <c r="D31" s="389" t="s">
        <v>201</v>
      </c>
      <c r="F31" s="240"/>
      <c r="G31" s="240"/>
      <c r="H31" s="240"/>
      <c r="I31" s="240"/>
      <c r="J31" s="191"/>
      <c r="K31" s="240"/>
      <c r="L31" s="240"/>
      <c r="M31" s="240"/>
      <c r="N31" s="191">
        <f>SUM(N7:N30)</f>
        <v>0</v>
      </c>
      <c r="O31" s="240"/>
      <c r="P31" s="240"/>
      <c r="Q31" s="240"/>
      <c r="R31" s="240"/>
      <c r="S31" s="191"/>
      <c r="T31" s="240"/>
      <c r="U31" s="240"/>
      <c r="V31" s="240"/>
      <c r="W31" s="191">
        <f>SUM(W7:W30)</f>
        <v>0</v>
      </c>
      <c r="X31" s="240"/>
      <c r="Y31" s="240"/>
      <c r="Z31" s="240"/>
      <c r="AA31" s="240"/>
      <c r="AB31" s="191"/>
      <c r="AC31" s="240"/>
      <c r="AD31" s="240"/>
      <c r="AE31" s="240"/>
      <c r="AF31" s="191"/>
      <c r="AG31" s="240"/>
      <c r="AH31"/>
      <c r="AI31" s="240"/>
      <c r="AJ31" s="242"/>
      <c r="AK31" s="242"/>
      <c r="AL31" s="242"/>
      <c r="AM31" s="242"/>
      <c r="AN31"/>
      <c r="AO31" s="242"/>
      <c r="AP31" s="240"/>
      <c r="AQ31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/>
      <c r="BD31"/>
      <c r="BE31"/>
      <c r="BF31"/>
    </row>
    <row r="32" spans="1:66" s="10" customFormat="1" ht="24.95" customHeight="1" thickBot="1">
      <c r="A32" s="564">
        <v>25</v>
      </c>
      <c r="B32" s="567" t="s">
        <v>123</v>
      </c>
      <c r="C32" s="387" t="s">
        <v>170</v>
      </c>
      <c r="D32" s="462">
        <v>32</v>
      </c>
      <c r="AB32" s="241"/>
      <c r="AC32" s="241"/>
      <c r="AD32" s="241"/>
      <c r="AE32" s="241"/>
      <c r="AH32"/>
      <c r="AJ32" s="243"/>
      <c r="AK32" s="243"/>
      <c r="AL32" s="243"/>
      <c r="AM32" s="243"/>
      <c r="AN32"/>
      <c r="AO32" s="167"/>
      <c r="AQ32"/>
      <c r="BB32" s="189"/>
      <c r="BC32"/>
      <c r="BD32"/>
      <c r="BE32"/>
      <c r="BF32"/>
      <c r="BJ32" s="189"/>
      <c r="BK32" s="189"/>
      <c r="BL32" s="189"/>
      <c r="BM32" s="189"/>
      <c r="BN32" s="189"/>
    </row>
    <row r="33" spans="1:58" s="10" customFormat="1" ht="24.95" customHeight="1" thickBot="1">
      <c r="A33" s="565">
        <v>26</v>
      </c>
      <c r="B33" s="568" t="s">
        <v>164</v>
      </c>
      <c r="C33" s="381" t="s">
        <v>192</v>
      </c>
      <c r="D33" s="463">
        <v>25</v>
      </c>
      <c r="H33" s="481" t="s">
        <v>15</v>
      </c>
      <c r="I33" s="482"/>
      <c r="J33" s="483"/>
      <c r="Q33" s="481" t="s">
        <v>16</v>
      </c>
      <c r="R33" s="482"/>
      <c r="S33" s="483"/>
      <c r="Z33" s="481" t="s">
        <v>17</v>
      </c>
      <c r="AA33" s="482"/>
      <c r="AB33" s="483"/>
      <c r="AC33" s="9"/>
      <c r="AD33" s="9"/>
      <c r="AE33" s="9"/>
      <c r="AF33" s="9"/>
      <c r="AG33" s="9"/>
      <c r="AH33"/>
      <c r="AI33" s="169" t="s">
        <v>7</v>
      </c>
      <c r="AJ33" s="169">
        <v>1</v>
      </c>
      <c r="AK33" s="170">
        <v>2</v>
      </c>
      <c r="AL33" s="170">
        <v>3</v>
      </c>
      <c r="AM33" s="171">
        <v>4</v>
      </c>
      <c r="AN33"/>
      <c r="AO33" s="512" t="s">
        <v>203</v>
      </c>
      <c r="AP33" s="9"/>
      <c r="AQ33"/>
      <c r="AR33" s="9"/>
      <c r="AS33" s="9"/>
      <c r="AT33" s="495" t="s">
        <v>11</v>
      </c>
      <c r="AU33" s="496"/>
      <c r="AV33" s="496"/>
      <c r="AW33" s="496"/>
      <c r="AX33" s="496"/>
      <c r="AY33" s="496"/>
      <c r="AZ33" s="497"/>
      <c r="BA33" s="4"/>
      <c r="BB33" s="478" t="s">
        <v>76</v>
      </c>
      <c r="BC33" s="479"/>
      <c r="BD33" s="479"/>
      <c r="BE33" s="479"/>
      <c r="BF33" s="480"/>
    </row>
    <row r="34" spans="1:58" s="10" customFormat="1" ht="24.95" customHeight="1" thickBot="1">
      <c r="A34" s="565">
        <v>27</v>
      </c>
      <c r="B34" s="569" t="s">
        <v>118</v>
      </c>
      <c r="C34" s="388" t="s">
        <v>119</v>
      </c>
      <c r="D34" s="463">
        <v>35</v>
      </c>
      <c r="F34" s="275" t="s">
        <v>14</v>
      </c>
      <c r="G34" s="276"/>
      <c r="H34" s="275" t="s">
        <v>2</v>
      </c>
      <c r="I34" s="277" t="s">
        <v>0</v>
      </c>
      <c r="J34" s="277" t="s">
        <v>1</v>
      </c>
      <c r="K34" s="5" t="s">
        <v>9</v>
      </c>
      <c r="L34" s="5" t="s">
        <v>18</v>
      </c>
      <c r="M34" s="5" t="s">
        <v>19</v>
      </c>
      <c r="N34" s="5" t="s">
        <v>10</v>
      </c>
      <c r="O34" s="5" t="s">
        <v>13</v>
      </c>
      <c r="P34" s="3"/>
      <c r="Q34" s="275" t="s">
        <v>2</v>
      </c>
      <c r="R34" s="277" t="s">
        <v>0</v>
      </c>
      <c r="S34" s="277" t="s">
        <v>1</v>
      </c>
      <c r="T34" s="5" t="s">
        <v>9</v>
      </c>
      <c r="U34" s="5" t="s">
        <v>18</v>
      </c>
      <c r="V34" s="5" t="s">
        <v>19</v>
      </c>
      <c r="W34" s="5" t="s">
        <v>10</v>
      </c>
      <c r="X34" s="5" t="s">
        <v>13</v>
      </c>
      <c r="Y34" s="1"/>
      <c r="Z34" s="275" t="s">
        <v>2</v>
      </c>
      <c r="AA34" s="277" t="s">
        <v>0</v>
      </c>
      <c r="AB34" s="277" t="s">
        <v>1</v>
      </c>
      <c r="AC34" s="5" t="s">
        <v>9</v>
      </c>
      <c r="AD34" s="5" t="s">
        <v>18</v>
      </c>
      <c r="AE34" s="5" t="s">
        <v>19</v>
      </c>
      <c r="AF34" s="5" t="s">
        <v>10</v>
      </c>
      <c r="AG34" s="5" t="s">
        <v>13</v>
      </c>
      <c r="AH34"/>
      <c r="AI34" s="293" t="s">
        <v>8</v>
      </c>
      <c r="AJ34" s="436" t="s">
        <v>9</v>
      </c>
      <c r="AK34" s="436" t="s">
        <v>10</v>
      </c>
      <c r="AL34" s="437" t="s">
        <v>18</v>
      </c>
      <c r="AM34" s="437" t="s">
        <v>19</v>
      </c>
      <c r="AN34"/>
      <c r="AO34" s="513"/>
      <c r="AP34" s="6"/>
      <c r="AQ34"/>
      <c r="AR34" s="6" t="s">
        <v>6</v>
      </c>
      <c r="AS34" s="6"/>
      <c r="AT34" s="34" t="s">
        <v>12</v>
      </c>
      <c r="AU34" s="35" t="s">
        <v>8</v>
      </c>
      <c r="AV34" s="36" t="s">
        <v>9</v>
      </c>
      <c r="AW34" s="38" t="s">
        <v>10</v>
      </c>
      <c r="AX34" s="20" t="s">
        <v>18</v>
      </c>
      <c r="AY34" s="37" t="s">
        <v>19</v>
      </c>
      <c r="AZ34" s="400" t="s">
        <v>86</v>
      </c>
      <c r="BB34" s="189"/>
      <c r="BC34" s="190" t="s">
        <v>74</v>
      </c>
      <c r="BD34" s="191" t="s">
        <v>77</v>
      </c>
      <c r="BE34" s="191" t="s">
        <v>78</v>
      </c>
      <c r="BF34" s="191" t="s">
        <v>79</v>
      </c>
    </row>
    <row r="35" spans="1:58" s="10" customFormat="1" ht="24.95" customHeight="1">
      <c r="A35" s="565">
        <v>28</v>
      </c>
      <c r="B35" s="569" t="s">
        <v>125</v>
      </c>
      <c r="C35" s="393" t="s">
        <v>119</v>
      </c>
      <c r="D35" s="463">
        <v>36</v>
      </c>
      <c r="F35" s="486">
        <v>5</v>
      </c>
      <c r="G35" s="14">
        <v>13</v>
      </c>
      <c r="H35" s="484">
        <v>1</v>
      </c>
      <c r="I35" s="390" t="str">
        <f>IF(ISNA(MATCH(G35,$D$7:$D$50,0)),"",INDEX($B$7:$B$50,MATCH(G35,$D$7:$D$50,0)))</f>
        <v>CESA CLAUDE</v>
      </c>
      <c r="J35" s="7"/>
      <c r="K35" s="194">
        <f>IF(J35&gt;J36,4,0)</f>
        <v>0</v>
      </c>
      <c r="L35" s="194">
        <f t="shared" ref="L35:L58" si="79">+J35</f>
        <v>0</v>
      </c>
      <c r="M35" s="194">
        <f>+J36</f>
        <v>0</v>
      </c>
      <c r="N35" s="194">
        <f>J35-J36</f>
        <v>0</v>
      </c>
      <c r="O35" s="194">
        <f>K35/4</f>
        <v>0</v>
      </c>
      <c r="P35" s="9"/>
      <c r="Q35" s="484">
        <v>7</v>
      </c>
      <c r="R35" s="310" t="str">
        <f>+I39</f>
        <v>LAFORET Guy</v>
      </c>
      <c r="S35" s="7"/>
      <c r="T35" s="194">
        <f>IF(S35&gt;S36,4,0)</f>
        <v>0</v>
      </c>
      <c r="U35" s="194">
        <f t="shared" ref="U35:U58" si="80">+S35</f>
        <v>0</v>
      </c>
      <c r="V35" s="194">
        <f>+S36</f>
        <v>0</v>
      </c>
      <c r="W35" s="194">
        <f>S35-S36</f>
        <v>0</v>
      </c>
      <c r="X35" s="194">
        <f>T35/4</f>
        <v>0</v>
      </c>
      <c r="Z35" s="484">
        <v>3</v>
      </c>
      <c r="AA35" s="316" t="str">
        <f>+R35</f>
        <v>LAFORET Guy</v>
      </c>
      <c r="AB35" s="7"/>
      <c r="AC35" s="194">
        <f>IF(AB35&gt;AB36,4,0)</f>
        <v>0</v>
      </c>
      <c r="AD35" s="194">
        <f t="shared" ref="AD35:AD58" si="81">+AB35</f>
        <v>0</v>
      </c>
      <c r="AE35" s="194">
        <f>+AB36</f>
        <v>0</v>
      </c>
      <c r="AF35" s="194">
        <f>AB35-AB36</f>
        <v>0</v>
      </c>
      <c r="AG35" s="194">
        <f>AC35/4</f>
        <v>0</v>
      </c>
      <c r="AH35"/>
      <c r="AI35" s="396" t="str">
        <f>IF(J35&lt;&gt;"",I35," ")</f>
        <v xml:space="preserve"> </v>
      </c>
      <c r="AJ35" s="438">
        <f>SUM(IFERROR(VLOOKUP(AI35,$I$35:$K$40,3,0),0),IFERROR(VLOOKUP(AI35,$R$35:$T$40,3,0),0),IFERROR(VLOOKUP(AI35,$AA$35:$AC$40,3,0),0))</f>
        <v>0</v>
      </c>
      <c r="AK35" s="278">
        <f>SUM(IFERROR(VLOOKUP(AI35,$I$35:$N$40,6,0),0),IFERROR(VLOOKUP(AI35,$R$35:$W$40,6,0),0),IFERROR(VLOOKUP(AI35,$AA$35:$AF$40,6,0),0))</f>
        <v>0</v>
      </c>
      <c r="AL35" s="441">
        <f>SUM(IFERROR(VLOOKUP(AI35,$I$35:$M$40,4,0),0),IFERROR(VLOOKUP(AI35,$R$35:$V$40,4,0),0),IFERROR(VLOOKUP(AI35,$AA$35:$AE$40,4,0),0))</f>
        <v>0</v>
      </c>
      <c r="AM35" s="278">
        <f>SUM(IFERROR(VLOOKUP(AI35,$I$35:$M$40,5,0),0),IFERROR(VLOOKUP(AI35,$R$35:$V$40,5,0),0),IFERROR(VLOOKUP(AI35,$AA$35:$AE$40,5,0),0))</f>
        <v>0</v>
      </c>
      <c r="AN35"/>
      <c r="AO35" s="201">
        <v>0</v>
      </c>
      <c r="AP35" s="2"/>
      <c r="AQ35" s="16">
        <f t="shared" si="68"/>
        <v>1.00000000035</v>
      </c>
      <c r="AR35" s="17">
        <f>IF(AI35="","",SMALL(AQ$35:AQ$40,ROWS(AJ$35:AJ35)))</f>
        <v>1.00000000035</v>
      </c>
      <c r="AS35" s="194"/>
      <c r="AT35" s="399">
        <f>IF(AR35="","",1)</f>
        <v>1</v>
      </c>
      <c r="AU35" s="295" t="str">
        <f>IF(OR(AI35="",AJ35=""),"",INDEX($AI$35:$AI$40,MATCH(AR35,$AQ$35:$AQ$40,0)))</f>
        <v xml:space="preserve"> </v>
      </c>
      <c r="AV35" s="209">
        <f>IF(OR(AI35="",AJ35=""),"",INDEX($AJ$35:$AJ$40,MATCH(AR35,$AQ$35:$AQ$40,0)))</f>
        <v>0</v>
      </c>
      <c r="AW35" s="209">
        <f>IF(OR(AI35="",AK35=""),"",INDEX($AK$35:$AK$40,MATCH(AR35,$AQ$35:$AQ$40,0)))</f>
        <v>0</v>
      </c>
      <c r="AX35" s="209">
        <f>IF(OR(AI35="",AL35=""),"",INDEX($AL$35:$AL$40,MATCH(AR35,$AQ$35:$AQ$40,0)))</f>
        <v>0</v>
      </c>
      <c r="AY35" s="209">
        <f>IF(OR(AI35="",AM35=""),"",INDEX($AM$35:$AM$40,MATCH(AR35,$AQ$35:$AQ$40,0)))</f>
        <v>0</v>
      </c>
      <c r="AZ35" s="402">
        <f>IF(OR(AI35="",AO35=""),"",INDEX($AO$35:$AO$40,MATCH(AR35,$AQ$35:$AQ$40,0)))</f>
        <v>0</v>
      </c>
      <c r="BA35" s="212"/>
      <c r="BB35" s="332" t="str">
        <f>I35</f>
        <v>CESA CLAUDE</v>
      </c>
      <c r="BC35" s="213">
        <f>SUM(BD35:BF35)</f>
        <v>0</v>
      </c>
      <c r="BD35" s="214" cm="1">
        <f t="array" ref="BD35">IF(OR(I35:I36="OFFICE"),0,IF(J35&gt;J36,1,0))</f>
        <v>0</v>
      </c>
      <c r="BE35" s="215">
        <f t="array" ref="BE35">IF(OR(R37:R38="OFFICE"),0,IF(S37&gt;S38,1,0))</f>
        <v>0</v>
      </c>
      <c r="BF35" s="216">
        <f t="array" ref="BF35">IF(OR(AA39:AA40="OFFICE"),0,IF(AB39&gt;AB40,1,0))</f>
        <v>0</v>
      </c>
    </row>
    <row r="36" spans="1:58" s="10" customFormat="1" ht="24.95" customHeight="1" thickBot="1">
      <c r="A36" s="565">
        <v>29</v>
      </c>
      <c r="B36" s="569" t="s">
        <v>126</v>
      </c>
      <c r="C36" s="394" t="s">
        <v>176</v>
      </c>
      <c r="D36" s="463">
        <v>31</v>
      </c>
      <c r="F36" s="487"/>
      <c r="G36" s="15">
        <v>33</v>
      </c>
      <c r="H36" s="494"/>
      <c r="I36" s="306" t="str">
        <f>IF(ISNA(MATCH(G36,$D$7:$D$50,0)),"",INDEX($B$7:$B$50,MATCH(G36,$D$7:$D$50,0)))</f>
        <v>CHANEAC Alain</v>
      </c>
      <c r="J36" s="12"/>
      <c r="K36" s="194">
        <f>IF(J36&gt;J35,4,0)</f>
        <v>0</v>
      </c>
      <c r="L36" s="194">
        <f t="shared" si="79"/>
        <v>0</v>
      </c>
      <c r="M36" s="194">
        <f>+J35</f>
        <v>0</v>
      </c>
      <c r="N36" s="194">
        <f>J36-J35</f>
        <v>0</v>
      </c>
      <c r="O36" s="194">
        <f>K36/4</f>
        <v>0</v>
      </c>
      <c r="P36" s="9"/>
      <c r="Q36" s="494"/>
      <c r="R36" s="311" t="str">
        <f>+I36</f>
        <v>CHANEAC Alain</v>
      </c>
      <c r="S36" s="12"/>
      <c r="T36" s="194">
        <f>IF(S36&gt;S35,4,0)</f>
        <v>0</v>
      </c>
      <c r="U36" s="194">
        <f t="shared" si="80"/>
        <v>0</v>
      </c>
      <c r="V36" s="194">
        <f>+S35</f>
        <v>0</v>
      </c>
      <c r="W36" s="194">
        <f>S36-S35</f>
        <v>0</v>
      </c>
      <c r="X36" s="194">
        <f>T36/4</f>
        <v>0</v>
      </c>
      <c r="Z36" s="494"/>
      <c r="AA36" s="317" t="str">
        <f>+R39</f>
        <v xml:space="preserve">DELHOUME Christian </v>
      </c>
      <c r="AB36" s="12"/>
      <c r="AC36" s="194">
        <f>IF(AB36&gt;AB35,4,0)</f>
        <v>0</v>
      </c>
      <c r="AD36" s="194">
        <f t="shared" si="81"/>
        <v>0</v>
      </c>
      <c r="AE36" s="194">
        <f>+AB35</f>
        <v>0</v>
      </c>
      <c r="AF36" s="194">
        <f>AB36-AB35</f>
        <v>0</v>
      </c>
      <c r="AG36" s="194">
        <f>AC36/4</f>
        <v>0</v>
      </c>
      <c r="AH36"/>
      <c r="AI36" s="397" t="str">
        <f t="shared" ref="AI36:AI39" si="82">IF(J36&lt;&gt;"",I36," ")</f>
        <v xml:space="preserve"> </v>
      </c>
      <c r="AJ36" s="439">
        <f t="shared" ref="AJ36:AJ39" si="83">SUM(IFERROR(VLOOKUP(AI36,$I$35:$K$40,3,0),0),IFERROR(VLOOKUP(AI36,$R$35:$T$40,3,0),0),IFERROR(VLOOKUP(AI36,$AA$35:$AC$40,3,0),0))</f>
        <v>0</v>
      </c>
      <c r="AK36" s="279">
        <f t="shared" ref="AK36:AK39" si="84">SUM(IFERROR(VLOOKUP(AI36,$I$35:$N$40,6,0),0),IFERROR(VLOOKUP(AI36,$R$35:$W$40,6,0),0),IFERROR(VLOOKUP(AI36,$AA$35:$AF$40,6,0),0))</f>
        <v>0</v>
      </c>
      <c r="AL36" s="292">
        <f t="shared" ref="AL36:AL39" si="85">SUM(IFERROR(VLOOKUP(AI36,$I$35:$M$40,4,0),0),IFERROR(VLOOKUP(AI36,$R$35:$V$40,4,0),0),IFERROR(VLOOKUP(AI36,$AA$35:$AE$40,4,0),0))</f>
        <v>0</v>
      </c>
      <c r="AM36" s="279">
        <f t="shared" ref="AM36:AM39" si="86">SUM(IFERROR(VLOOKUP(AI36,$I$35:$M$40,5,0),0),IFERROR(VLOOKUP(AI36,$R$35:$V$40,5,0),0),IFERROR(VLOOKUP(AI36,$AA$35:$AE$40,5,0),0))</f>
        <v>0</v>
      </c>
      <c r="AN36"/>
      <c r="AO36" s="202">
        <v>0</v>
      </c>
      <c r="AP36" s="2"/>
      <c r="AQ36" s="16">
        <f t="shared" si="68"/>
        <v>1.00000000036</v>
      </c>
      <c r="AR36" s="17">
        <f>IF(AI36="","",SMALL(AQ$35:AQ$40,ROWS(AJ$35:AJ36)))</f>
        <v>1.00000000036</v>
      </c>
      <c r="AS36" s="194"/>
      <c r="AT36" s="198">
        <f>IF(AR36="","",IF(AND(AV35=AV36,AX35=AX36,AY35=AY36,AW36=AW35,AZ35=AZ36),AT35,$AT$7+1))</f>
        <v>1</v>
      </c>
      <c r="AU36" s="296" t="str">
        <f t="shared" ref="AU36:AU39" si="87">IF(OR(AI36="",AJ36=""),"",INDEX($AI$35:$AI$40,MATCH(AR36,$AQ$35:$AQ$40,0)))</f>
        <v xml:space="preserve"> </v>
      </c>
      <c r="AV36" s="217">
        <f t="shared" ref="AV36:AV39" si="88">IF(OR(AI36="",AJ36=""),"",INDEX($AJ$35:$AJ$40,MATCH(AR36,$AQ$35:$AQ$40,0)))</f>
        <v>0</v>
      </c>
      <c r="AW36" s="217">
        <f t="shared" ref="AW36:AW39" si="89">IF(OR(AI36="",AK36=""),"",INDEX($AK$35:$AK$40,MATCH(AR36,$AQ$35:$AQ$40,0)))</f>
        <v>0</v>
      </c>
      <c r="AX36" s="217">
        <f t="shared" ref="AX36:AX39" si="90">IF(OR(AI36="",AL36=""),"",INDEX($AL$35:$AL$40,MATCH(AR36,$AQ$35:$AQ$40,0)))</f>
        <v>0</v>
      </c>
      <c r="AY36" s="217">
        <f t="shared" ref="AY36:AY39" si="91">IF(OR(AI36="",AM36=""),"",INDEX($AM$35:$AM$40,MATCH(AR36,$AQ$35:$AQ$40,0)))</f>
        <v>0</v>
      </c>
      <c r="AZ36" s="403">
        <f t="shared" ref="AZ36:AZ39" si="92">IF(OR(AI36="",AO36=""),"",INDEX($AO$35:$AO$40,MATCH(AR36,$AQ$35:$AQ$40,0)))</f>
        <v>0</v>
      </c>
      <c r="BA36" s="212"/>
      <c r="BB36" s="333" t="str">
        <f>+I36</f>
        <v>CHANEAC Alain</v>
      </c>
      <c r="BC36" s="218">
        <f t="shared" ref="BC36:BC39" si="93">SUM(BD36:BF36)</f>
        <v>0</v>
      </c>
      <c r="BD36" s="219">
        <f t="array" ref="BD36">IF(OR(I35:I36="OFFICE"),0,IF(J36&gt;J35,1,0))</f>
        <v>0</v>
      </c>
      <c r="BE36" s="188" cm="1">
        <f t="array" ref="BE36">IF(OR(R37:R38="OFFICE"),0,IF(S35&lt;S36,1,0))</f>
        <v>0</v>
      </c>
      <c r="BF36" s="220" cm="1">
        <f t="array" ref="BF36">IF(OR(AA37:AA38="OFFICE"),0,IF(AB37&gt;AB38,1,0))</f>
        <v>0</v>
      </c>
    </row>
    <row r="37" spans="1:58" s="10" customFormat="1" ht="24.95" customHeight="1">
      <c r="A37" s="565">
        <v>30</v>
      </c>
      <c r="B37" s="570" t="s">
        <v>157</v>
      </c>
      <c r="C37" s="471" t="s">
        <v>194</v>
      </c>
      <c r="D37" s="463">
        <v>33</v>
      </c>
      <c r="F37" s="487"/>
      <c r="G37" s="15">
        <v>14</v>
      </c>
      <c r="H37" s="484">
        <v>2</v>
      </c>
      <c r="I37" s="390" t="str">
        <f>IF(ISNA(MATCH(G37,$D$7:$D$50,0)),"",INDEX($B$7:$B$50,MATCH(G37,$D$7:$D$50,0)))</f>
        <v xml:space="preserve">DELHOUME Christian </v>
      </c>
      <c r="J37" s="7"/>
      <c r="K37" s="194">
        <f>IF(J37&gt;J38,4,0)</f>
        <v>0</v>
      </c>
      <c r="L37" s="194">
        <f t="shared" si="79"/>
        <v>0</v>
      </c>
      <c r="M37" s="194">
        <f>+J38</f>
        <v>0</v>
      </c>
      <c r="N37" s="194">
        <f t="shared" ref="N37" si="94">J37-J38</f>
        <v>0</v>
      </c>
      <c r="O37" s="194">
        <f>K37/4</f>
        <v>0</v>
      </c>
      <c r="P37" s="9"/>
      <c r="Q37" s="484">
        <v>8</v>
      </c>
      <c r="R37" s="312" t="str">
        <f>I35</f>
        <v>CESA CLAUDE</v>
      </c>
      <c r="S37" s="7"/>
      <c r="T37" s="194">
        <f>IF(S37&gt;S38,4,0)</f>
        <v>0</v>
      </c>
      <c r="U37" s="194">
        <f t="shared" si="80"/>
        <v>0</v>
      </c>
      <c r="V37" s="194">
        <f>+S38</f>
        <v>0</v>
      </c>
      <c r="W37" s="194">
        <f t="shared" ref="W37" si="95">S37-S38</f>
        <v>0</v>
      </c>
      <c r="X37" s="194">
        <f>T37/4</f>
        <v>0</v>
      </c>
      <c r="Z37" s="484">
        <v>4</v>
      </c>
      <c r="AA37" s="316" t="str">
        <f>+R36</f>
        <v>CHANEAC Alain</v>
      </c>
      <c r="AB37" s="7"/>
      <c r="AC37" s="194">
        <f>IF(AB37&gt;AB38,4,0)</f>
        <v>0</v>
      </c>
      <c r="AD37" s="194">
        <f t="shared" si="81"/>
        <v>0</v>
      </c>
      <c r="AE37" s="194">
        <f>+AB38</f>
        <v>0</v>
      </c>
      <c r="AF37" s="194">
        <f t="shared" ref="AF37" si="96">AB37-AB38</f>
        <v>0</v>
      </c>
      <c r="AG37" s="194">
        <f>AC37/4</f>
        <v>0</v>
      </c>
      <c r="AH37"/>
      <c r="AI37" s="397" t="str">
        <f t="shared" si="82"/>
        <v xml:space="preserve"> </v>
      </c>
      <c r="AJ37" s="439">
        <f t="shared" si="83"/>
        <v>0</v>
      </c>
      <c r="AK37" s="279">
        <f t="shared" si="84"/>
        <v>0</v>
      </c>
      <c r="AL37" s="292">
        <f t="shared" si="85"/>
        <v>0</v>
      </c>
      <c r="AM37" s="279">
        <f t="shared" si="86"/>
        <v>0</v>
      </c>
      <c r="AN37"/>
      <c r="AO37" s="202">
        <v>0</v>
      </c>
      <c r="AP37" s="2"/>
      <c r="AQ37" s="16">
        <f t="shared" si="68"/>
        <v>1.00000000037</v>
      </c>
      <c r="AR37" s="17">
        <f>IF(AI37="","",SMALL(AQ$35:AQ$40,ROWS(AJ$35:AJ37)))</f>
        <v>1.00000000037</v>
      </c>
      <c r="AS37" s="194"/>
      <c r="AT37" s="198">
        <f>IF(AR37="","",IF(AND(AV36=AV37,AX36=AX37,AY36=AY37,AW37=AW36,AZ36=AZ37),AT36,$AT$7+2))</f>
        <v>1</v>
      </c>
      <c r="AU37" s="296" t="str">
        <f t="shared" si="87"/>
        <v xml:space="preserve"> </v>
      </c>
      <c r="AV37" s="217">
        <f t="shared" si="88"/>
        <v>0</v>
      </c>
      <c r="AW37" s="217">
        <f t="shared" si="89"/>
        <v>0</v>
      </c>
      <c r="AX37" s="217">
        <f t="shared" si="90"/>
        <v>0</v>
      </c>
      <c r="AY37" s="217">
        <f t="shared" si="91"/>
        <v>0</v>
      </c>
      <c r="AZ37" s="403">
        <f t="shared" si="92"/>
        <v>0</v>
      </c>
      <c r="BA37" s="221"/>
      <c r="BB37" s="333" t="str">
        <f>+I37</f>
        <v xml:space="preserve">DELHOUME Christian </v>
      </c>
      <c r="BC37" s="218">
        <f t="shared" si="93"/>
        <v>0</v>
      </c>
      <c r="BD37" s="219">
        <f t="array" ref="BD37">IF(OR(I37:I38="OFFICE"),0,IF(J37&gt;J38,1,0))</f>
        <v>0</v>
      </c>
      <c r="BE37" s="188">
        <f t="array" ref="BE37">IF(OR(R39:R40="OFFICE"),0,IF(S39&gt;S40,1,0))</f>
        <v>0</v>
      </c>
      <c r="BF37" s="220">
        <f t="array" ref="BF37">IF(OR(AA35:AA36="OFFICE"),0,IF(AB36&gt;AB35,1,0))</f>
        <v>0</v>
      </c>
    </row>
    <row r="38" spans="1:58" s="10" customFormat="1" ht="24.95" customHeight="1" thickBot="1">
      <c r="A38" s="565">
        <v>31</v>
      </c>
      <c r="B38" s="571" t="s">
        <v>156</v>
      </c>
      <c r="C38" s="382" t="s">
        <v>174</v>
      </c>
      <c r="D38" s="463">
        <v>37</v>
      </c>
      <c r="F38" s="487"/>
      <c r="G38" s="15">
        <v>34</v>
      </c>
      <c r="H38" s="494"/>
      <c r="I38" s="306" t="str">
        <f>IF(ISNA(MATCH(G38,$D$7:$D$50,0)),"",INDEX($B$7:$B$50,MATCH(G38,$D$7:$D$50,0)))</f>
        <v>TESTUD Maurice</v>
      </c>
      <c r="J38" s="11"/>
      <c r="K38" s="194">
        <f>IF(J38&gt;J37,4,0)</f>
        <v>0</v>
      </c>
      <c r="L38" s="194">
        <f t="shared" si="79"/>
        <v>0</v>
      </c>
      <c r="M38" s="194">
        <f>+J37</f>
        <v>0</v>
      </c>
      <c r="N38" s="194">
        <f>J38-J37</f>
        <v>0</v>
      </c>
      <c r="O38" s="194">
        <f>K38/4</f>
        <v>0</v>
      </c>
      <c r="P38" s="9"/>
      <c r="Q38" s="485"/>
      <c r="R38" s="313" t="str">
        <f>+I38</f>
        <v>TESTUD Maurice</v>
      </c>
      <c r="S38" s="11"/>
      <c r="T38" s="194">
        <f>IF(S38&gt;S37,4,0)</f>
        <v>0</v>
      </c>
      <c r="U38" s="194">
        <f t="shared" si="80"/>
        <v>0</v>
      </c>
      <c r="V38" s="194">
        <f>+S37</f>
        <v>0</v>
      </c>
      <c r="W38" s="194">
        <f t="shared" ref="W38" si="97">S38-S37</f>
        <v>0</v>
      </c>
      <c r="X38" s="194">
        <f>T38/4</f>
        <v>0</v>
      </c>
      <c r="Z38" s="485"/>
      <c r="AA38" s="318" t="str">
        <f>+R38</f>
        <v>TESTUD Maurice</v>
      </c>
      <c r="AB38" s="12"/>
      <c r="AC38" s="194">
        <f>IF(AB38&gt;AB37,4,0)</f>
        <v>0</v>
      </c>
      <c r="AD38" s="194">
        <f t="shared" si="81"/>
        <v>0</v>
      </c>
      <c r="AE38" s="194">
        <f>+AB37</f>
        <v>0</v>
      </c>
      <c r="AF38" s="194">
        <f t="shared" ref="AF38" si="98">AB38-AB37</f>
        <v>0</v>
      </c>
      <c r="AG38" s="194">
        <f>AC38/4</f>
        <v>0</v>
      </c>
      <c r="AH38"/>
      <c r="AI38" s="397" t="str">
        <f t="shared" si="82"/>
        <v xml:space="preserve"> </v>
      </c>
      <c r="AJ38" s="439">
        <f t="shared" si="83"/>
        <v>0</v>
      </c>
      <c r="AK38" s="279">
        <f t="shared" si="84"/>
        <v>0</v>
      </c>
      <c r="AL38" s="292">
        <f t="shared" si="85"/>
        <v>0</v>
      </c>
      <c r="AM38" s="279">
        <f t="shared" si="86"/>
        <v>0</v>
      </c>
      <c r="AN38"/>
      <c r="AO38" s="202">
        <v>0</v>
      </c>
      <c r="AP38" s="2"/>
      <c r="AQ38" s="16">
        <f t="shared" si="68"/>
        <v>1.00000000038</v>
      </c>
      <c r="AR38" s="17">
        <f>IF(AI38="","",SMALL(AQ$35:AQ$40,ROWS(AJ$35:AJ38)))</f>
        <v>1.00000000038</v>
      </c>
      <c r="AS38" s="194"/>
      <c r="AT38" s="198">
        <f>IF(AR38="","",IF(AND(AV37=AV38,AX37=AX38,AY37=AY38,AW38=AW37,AZ37=AZ38),AT37,$AT$7+3))</f>
        <v>1</v>
      </c>
      <c r="AU38" s="297" t="str">
        <f t="shared" si="87"/>
        <v xml:space="preserve"> </v>
      </c>
      <c r="AV38" s="222">
        <f t="shared" si="88"/>
        <v>0</v>
      </c>
      <c r="AW38" s="222">
        <f t="shared" si="89"/>
        <v>0</v>
      </c>
      <c r="AX38" s="222">
        <f t="shared" si="90"/>
        <v>0</v>
      </c>
      <c r="AY38" s="222">
        <f t="shared" si="91"/>
        <v>0</v>
      </c>
      <c r="AZ38" s="404">
        <f t="shared" si="92"/>
        <v>0</v>
      </c>
      <c r="BA38" s="221"/>
      <c r="BB38" s="334" t="str">
        <f>+I38</f>
        <v>TESTUD Maurice</v>
      </c>
      <c r="BC38" s="223">
        <f t="shared" si="93"/>
        <v>0</v>
      </c>
      <c r="BD38" s="219">
        <f t="array" ref="BD38">IF(OR(I37:I38="OFFICE"),0,IF(J37&lt;J38,1,0))</f>
        <v>0</v>
      </c>
      <c r="BE38" s="224">
        <f t="array" ref="BE38">IF(OR(R37:R38="OFFICE"),0,IF(S37&lt;S38,1,0))</f>
        <v>0</v>
      </c>
      <c r="BF38" s="225" cm="1">
        <f t="array" ref="BF38">IF(OR(AA37:AA38="OFFICE"),0,IF(AB37&lt;AB38,1,0))</f>
        <v>0</v>
      </c>
    </row>
    <row r="39" spans="1:58" s="10" customFormat="1" ht="24.95" customHeight="1" thickBot="1">
      <c r="A39" s="565">
        <v>32</v>
      </c>
      <c r="B39" s="572" t="s">
        <v>159</v>
      </c>
      <c r="C39" s="395" t="s">
        <v>183</v>
      </c>
      <c r="D39" s="463">
        <v>26</v>
      </c>
      <c r="F39" s="487"/>
      <c r="G39" s="489">
        <v>15</v>
      </c>
      <c r="H39" s="491"/>
      <c r="I39" s="307" t="str">
        <f>IF(ISNA(MATCH(G39,$D$7:$D$50,0)),"",INDEX($B$7:$B$50,MATCH(G39,$D$7:$D$50,0)))</f>
        <v>LAFORET Guy</v>
      </c>
      <c r="J39" s="7"/>
      <c r="K39" s="194">
        <f>IF(J39&gt;J40,4,0)</f>
        <v>0</v>
      </c>
      <c r="L39" s="194">
        <f t="shared" si="79"/>
        <v>0</v>
      </c>
      <c r="M39" s="194">
        <f>+J40</f>
        <v>0</v>
      </c>
      <c r="N39" s="194">
        <f t="shared" ref="N39" si="99">J39-J40</f>
        <v>0</v>
      </c>
      <c r="O39" s="195">
        <v>0</v>
      </c>
      <c r="P39" s="9"/>
      <c r="Q39" s="493"/>
      <c r="R39" s="314" t="str">
        <f>+I37</f>
        <v xml:space="preserve">DELHOUME Christian </v>
      </c>
      <c r="S39" s="7"/>
      <c r="T39" s="194">
        <f>IF(S39&gt;S40,4,0)</f>
        <v>0</v>
      </c>
      <c r="U39" s="194">
        <f t="shared" si="80"/>
        <v>0</v>
      </c>
      <c r="V39" s="194">
        <f>+S40</f>
        <v>0</v>
      </c>
      <c r="W39" s="194">
        <f t="shared" ref="W39" si="100">S39-S40</f>
        <v>0</v>
      </c>
      <c r="X39" s="195">
        <v>0</v>
      </c>
      <c r="Z39" s="493"/>
      <c r="AA39" s="319" t="str">
        <f>+R37</f>
        <v>CESA CLAUDE</v>
      </c>
      <c r="AB39" s="7"/>
      <c r="AC39" s="194">
        <f>IF(AB39&gt;AB40,4,0)</f>
        <v>0</v>
      </c>
      <c r="AD39" s="194">
        <f t="shared" si="81"/>
        <v>0</v>
      </c>
      <c r="AE39" s="194">
        <f>+AB40</f>
        <v>0</v>
      </c>
      <c r="AF39" s="194">
        <f t="shared" ref="AF39" si="101">AB39-AB40</f>
        <v>0</v>
      </c>
      <c r="AG39" s="195">
        <v>0</v>
      </c>
      <c r="AH39"/>
      <c r="AI39" s="398" t="str">
        <f t="shared" si="82"/>
        <v xml:space="preserve"> </v>
      </c>
      <c r="AJ39" s="440">
        <f t="shared" si="83"/>
        <v>0</v>
      </c>
      <c r="AK39" s="280">
        <f t="shared" si="84"/>
        <v>0</v>
      </c>
      <c r="AL39" s="290">
        <f t="shared" si="85"/>
        <v>0</v>
      </c>
      <c r="AM39" s="280">
        <f t="shared" si="86"/>
        <v>0</v>
      </c>
      <c r="AN39"/>
      <c r="AO39" s="203">
        <v>0</v>
      </c>
      <c r="AP39" s="2"/>
      <c r="AQ39" s="16">
        <f t="shared" si="68"/>
        <v>1.00000000039</v>
      </c>
      <c r="AR39" s="17">
        <f>IF(AI39="","",SMALL(AQ$35:AQ$40,ROWS(AJ$35:AJ39)))</f>
        <v>1.00000000039</v>
      </c>
      <c r="AS39" s="194"/>
      <c r="AT39" s="198">
        <f>IF(AR39="","",IF(AND(AV38=AV39,AX38=AX39,AY38=AY39,AW39=AW38,AZ38=AZ39),AT38,$AT$7+4))</f>
        <v>1</v>
      </c>
      <c r="AU39" s="298" t="str">
        <f t="shared" si="87"/>
        <v xml:space="preserve"> </v>
      </c>
      <c r="AV39" s="226">
        <f t="shared" si="88"/>
        <v>0</v>
      </c>
      <c r="AW39" s="226">
        <f t="shared" si="89"/>
        <v>0</v>
      </c>
      <c r="AX39" s="226">
        <f t="shared" si="90"/>
        <v>0</v>
      </c>
      <c r="AY39" s="226">
        <f t="shared" si="91"/>
        <v>0</v>
      </c>
      <c r="AZ39" s="405">
        <f t="shared" si="92"/>
        <v>0</v>
      </c>
      <c r="BA39" s="221"/>
      <c r="BB39" s="335" t="str">
        <f>+I39</f>
        <v>LAFORET Guy</v>
      </c>
      <c r="BC39" s="227">
        <f t="shared" si="93"/>
        <v>0</v>
      </c>
      <c r="BD39" s="228">
        <f t="array" ref="BD39">IF(OR(I39:I40="OFFICE"),0,IF(J39&gt;J40,1,0))</f>
        <v>0</v>
      </c>
      <c r="BE39" s="229">
        <f t="array" ref="BE39">IF(OR(R35:R36="OFFICE"),0,IF(S35&gt;S36,1,0))</f>
        <v>0</v>
      </c>
      <c r="BF39" s="230">
        <f t="array" ref="BF39">IF(OR(AA35:AA36="OFFICE"),0,IF(AB35&gt;AB36,1,0))</f>
        <v>0</v>
      </c>
    </row>
    <row r="40" spans="1:58" s="10" customFormat="1" ht="24.95" customHeight="1" thickBot="1">
      <c r="A40" s="565">
        <v>33</v>
      </c>
      <c r="B40" s="571" t="s">
        <v>129</v>
      </c>
      <c r="C40" s="382" t="s">
        <v>130</v>
      </c>
      <c r="D40" s="463">
        <v>30</v>
      </c>
      <c r="F40" s="488"/>
      <c r="G40" s="490"/>
      <c r="H40" s="492"/>
      <c r="I40" s="308" t="s">
        <v>82</v>
      </c>
      <c r="J40" s="12"/>
      <c r="K40" s="196">
        <f>IF(J40&gt;J39,4,0)</f>
        <v>0</v>
      </c>
      <c r="L40" s="197">
        <f t="shared" si="79"/>
        <v>0</v>
      </c>
      <c r="M40" s="197">
        <f>+J39</f>
        <v>0</v>
      </c>
      <c r="N40" s="197">
        <f>J40-J39</f>
        <v>0</v>
      </c>
      <c r="O40" s="197"/>
      <c r="P40" s="192"/>
      <c r="Q40" s="492"/>
      <c r="R40" s="309" t="s">
        <v>82</v>
      </c>
      <c r="S40" s="12"/>
      <c r="T40" s="199">
        <v>0</v>
      </c>
      <c r="U40" s="197">
        <f t="shared" si="80"/>
        <v>0</v>
      </c>
      <c r="V40" s="197">
        <f>+S39</f>
        <v>0</v>
      </c>
      <c r="W40" s="197">
        <f t="shared" ref="W40" si="102">S40-S39</f>
        <v>0</v>
      </c>
      <c r="X40" s="197"/>
      <c r="Y40" s="192"/>
      <c r="Z40" s="492"/>
      <c r="AA40" s="320" t="s">
        <v>82</v>
      </c>
      <c r="AB40" s="12"/>
      <c r="AC40" s="199">
        <v>0</v>
      </c>
      <c r="AD40" s="197">
        <f t="shared" si="81"/>
        <v>0</v>
      </c>
      <c r="AE40" s="197">
        <f>+AB39</f>
        <v>0</v>
      </c>
      <c r="AF40" s="197">
        <f t="shared" ref="AF40" si="103">AB40-AB39</f>
        <v>0</v>
      </c>
      <c r="AG40" s="197"/>
      <c r="AH40"/>
      <c r="AI40" s="325"/>
      <c r="AJ40" s="287"/>
      <c r="AK40" s="287">
        <f>SUM(AK35:AK39)</f>
        <v>0</v>
      </c>
      <c r="AL40" s="287">
        <f>SUM(AL35:AL39)</f>
        <v>0</v>
      </c>
      <c r="AM40" s="287">
        <f>SUM(AM35:AM39)</f>
        <v>0</v>
      </c>
      <c r="AN40"/>
      <c r="AO40" s="205"/>
      <c r="AP40" s="42"/>
      <c r="AQ40" s="16"/>
      <c r="AR40" s="204"/>
      <c r="AS40" s="204"/>
      <c r="AT40" s="197"/>
      <c r="AU40" s="231"/>
      <c r="AV40" s="231"/>
      <c r="AW40" s="231"/>
      <c r="AX40" s="231"/>
      <c r="AY40" s="231"/>
      <c r="AZ40" s="221"/>
      <c r="BA40" s="221"/>
      <c r="BB40" s="336"/>
      <c r="BC40" s="232">
        <f>SUM(BC35:BC39)</f>
        <v>0</v>
      </c>
      <c r="BD40" s="232">
        <f>SUM(BD35:BD39)</f>
        <v>0</v>
      </c>
      <c r="BE40" s="232">
        <f>SUM(BE35:BE39)</f>
        <v>0</v>
      </c>
      <c r="BF40" s="232">
        <f>SUM(BF35:BF39)</f>
        <v>0</v>
      </c>
    </row>
    <row r="41" spans="1:58" s="10" customFormat="1" ht="24.95" customHeight="1">
      <c r="A41" s="565">
        <v>34</v>
      </c>
      <c r="B41" s="572" t="s">
        <v>124</v>
      </c>
      <c r="C41" s="392" t="s">
        <v>116</v>
      </c>
      <c r="D41" s="463">
        <v>38</v>
      </c>
      <c r="F41" s="486">
        <v>6</v>
      </c>
      <c r="G41" s="14">
        <v>16</v>
      </c>
      <c r="H41" s="484">
        <v>3</v>
      </c>
      <c r="I41" s="390" t="str">
        <f>IF(ISNA(MATCH(G41,$D$7:$D$50,0)),"",INDEX($B$7:$B$50,MATCH(G41,$D$7:$D$50,0)))</f>
        <v>FAURITE Michel</v>
      </c>
      <c r="J41" s="7"/>
      <c r="K41" s="194">
        <f>IF(J41&gt;J42,4,0)</f>
        <v>0</v>
      </c>
      <c r="L41" s="194">
        <f t="shared" si="79"/>
        <v>0</v>
      </c>
      <c r="M41" s="194">
        <f>+J42</f>
        <v>0</v>
      </c>
      <c r="N41" s="194">
        <f>J41-J42</f>
        <v>0</v>
      </c>
      <c r="O41" s="194">
        <f>K41/4</f>
        <v>0</v>
      </c>
      <c r="P41" s="9"/>
      <c r="Q41" s="484">
        <v>1</v>
      </c>
      <c r="R41" s="310" t="str">
        <f>+I45</f>
        <v>BIMET Michel</v>
      </c>
      <c r="S41" s="7"/>
      <c r="T41" s="194">
        <f>IF(S41&gt;S42,4,0)</f>
        <v>0</v>
      </c>
      <c r="U41" s="194">
        <f t="shared" si="80"/>
        <v>0</v>
      </c>
      <c r="V41" s="194">
        <f>+S42</f>
        <v>0</v>
      </c>
      <c r="W41" s="194">
        <f>S41-S42</f>
        <v>0</v>
      </c>
      <c r="X41" s="194">
        <f>T41/4</f>
        <v>0</v>
      </c>
      <c r="Z41" s="484">
        <v>5</v>
      </c>
      <c r="AA41" s="316" t="str">
        <f>+R41</f>
        <v>BIMET Michel</v>
      </c>
      <c r="AB41" s="7"/>
      <c r="AC41" s="194">
        <f>IF(AB41&gt;AB42,4,0)</f>
        <v>0</v>
      </c>
      <c r="AD41" s="194">
        <f t="shared" si="81"/>
        <v>0</v>
      </c>
      <c r="AE41" s="194">
        <f>+AB42</f>
        <v>0</v>
      </c>
      <c r="AF41" s="194">
        <f>AB41-AB42</f>
        <v>0</v>
      </c>
      <c r="AG41" s="194">
        <f>AC41/4</f>
        <v>0</v>
      </c>
      <c r="AH41"/>
      <c r="AI41" s="396" t="str">
        <f>IF(J41&lt;&gt;"",I41," ")</f>
        <v xml:space="preserve"> </v>
      </c>
      <c r="AJ41" s="442">
        <f>SUM(IFERROR(VLOOKUP(AI41,$I$41:$K$46,3,0),0),IFERROR(VLOOKUP(AI41,$R$41:$T$46,3,0),0),IFERROR(VLOOKUP(AI41,$AA$41:$AC$46,3,0),0))</f>
        <v>0</v>
      </c>
      <c r="AK41" s="278">
        <f>SUM(IFERROR(VLOOKUP(AI41,$I$41:$N$46,6,0),0),IFERROR(VLOOKUP(AI41,$R$41:$W$46,6,0),0),IFERROR(VLOOKUP(AI41,$AA$41:$AF$46,6,0),0))</f>
        <v>0</v>
      </c>
      <c r="AL41" s="291">
        <f>SUM(IFERROR(VLOOKUP(AI41,$I$41:$M$46,4,0),0),IFERROR(VLOOKUP(AI41,$R$41:$V$46,4,0),0),IFERROR(VLOOKUP(AI41,$AA$41:$AE$46,4,0),0))</f>
        <v>0</v>
      </c>
      <c r="AM41" s="278">
        <f>SUM(IFERROR(VLOOKUP(AI41,$I$41:$M$46,5,0),0),IFERROR(VLOOKUP(AI41,$R$41:$V$46,5,0),0),IFERROR(VLOOKUP(AI41,$AA$41:$AE$46,5,0),0))</f>
        <v>0</v>
      </c>
      <c r="AN41"/>
      <c r="AO41" s="207">
        <v>0</v>
      </c>
      <c r="AP41" s="2"/>
      <c r="AQ41" s="16">
        <f t="shared" si="68"/>
        <v>1.00000000041</v>
      </c>
      <c r="AR41" s="41">
        <f>IF(AI41="","",SMALL(AQ$41:AQ$46,ROWS(AJ$41:AJ41)))</f>
        <v>1.00000000041</v>
      </c>
      <c r="AS41" s="194"/>
      <c r="AT41" s="399">
        <f>IF(AR41="","",1)</f>
        <v>1</v>
      </c>
      <c r="AU41" s="401" t="str">
        <f>IF(OR(AI41="",AJ41=""),"",INDEX($AI$41:$AI$46,MATCH(AR41,$AQ$41:$AQ$46,0)))</f>
        <v xml:space="preserve"> </v>
      </c>
      <c r="AV41" s="210">
        <f>IF(OR(AI41="",AJ41=""),"",INDEX($AJ$41:$AJ$46,MATCH(AR41,$AQ$41:$AQ$46,0)))</f>
        <v>0</v>
      </c>
      <c r="AW41" s="210">
        <f>IF(OR(AI41="",AK41=""),"",INDEX($AK$41:$AK$46,MATCH(AR41,$AQ$41:$AQ$46,0)))</f>
        <v>0</v>
      </c>
      <c r="AX41" s="210">
        <f>IF(OR(AI41="",AL41=""),"",INDEX($AL$41:$AL$46,MATCH(AR41,$AQ$41:$AQ$46,0)))</f>
        <v>0</v>
      </c>
      <c r="AY41" s="210">
        <f>IF(OR(AI41="",AM41=""),"",INDEX($AM$41:$AM$46,MATCH(AR41,$AQ$41:$AQ$46,0)))</f>
        <v>0</v>
      </c>
      <c r="AZ41" s="210">
        <f>IF(OR(AI41="",AO41=""),"",INDEX($AO$41:$AO$46,MATCH(AR41,$AQ$41:$AQ$46,0)))</f>
        <v>0</v>
      </c>
      <c r="BA41" s="212"/>
      <c r="BB41" s="332" t="str">
        <f>I41</f>
        <v>FAURITE Michel</v>
      </c>
      <c r="BC41" s="213">
        <f>SUM(BD41:BF41)</f>
        <v>0</v>
      </c>
      <c r="BD41" s="214">
        <f t="array" ref="BD41">IF(OR(I41:I42="OFFICE"),0,IF(J41&gt;J42,1,0))</f>
        <v>0</v>
      </c>
      <c r="BE41" s="215">
        <f t="array" ref="BE41">IF(OR(R43:R44="OFFICE"),0,IF(S43&gt;S44,1,0))</f>
        <v>0</v>
      </c>
      <c r="BF41" s="216">
        <f t="array" ref="BF41">IF(OR(AA45:AA46="OFFICE"),0,IF(AB45&gt;AB46,1,0))</f>
        <v>0</v>
      </c>
    </row>
    <row r="42" spans="1:58" s="10" customFormat="1" ht="24.95" customHeight="1" thickBot="1">
      <c r="A42" s="565">
        <v>35</v>
      </c>
      <c r="B42" s="572" t="s">
        <v>135</v>
      </c>
      <c r="C42" s="395" t="s">
        <v>183</v>
      </c>
      <c r="D42" s="463">
        <v>39</v>
      </c>
      <c r="F42" s="487"/>
      <c r="G42" s="15">
        <v>35</v>
      </c>
      <c r="H42" s="494"/>
      <c r="I42" s="306" t="str">
        <f>IF(ISNA(MATCH(G42,$D$7:$D$50,0)),"",INDEX($B$7:$B$50,MATCH(G42,$D$7:$D$50,0)))</f>
        <v>BOURCIER Didier</v>
      </c>
      <c r="J42" s="12"/>
      <c r="K42" s="194">
        <f>IF(J42&gt;J41,4,0)</f>
        <v>0</v>
      </c>
      <c r="L42" s="194">
        <f t="shared" si="79"/>
        <v>0</v>
      </c>
      <c r="M42" s="194">
        <f>+J41</f>
        <v>0</v>
      </c>
      <c r="N42" s="194">
        <f>J42-J41</f>
        <v>0</v>
      </c>
      <c r="O42" s="194">
        <f>K42/4</f>
        <v>0</v>
      </c>
      <c r="P42" s="9"/>
      <c r="Q42" s="494"/>
      <c r="R42" s="311" t="str">
        <f>+I42</f>
        <v>BOURCIER Didier</v>
      </c>
      <c r="S42" s="12"/>
      <c r="T42" s="194">
        <f>IF(S42&gt;S41,4,0)</f>
        <v>0</v>
      </c>
      <c r="U42" s="194">
        <f t="shared" si="80"/>
        <v>0</v>
      </c>
      <c r="V42" s="194">
        <f>+S41</f>
        <v>0</v>
      </c>
      <c r="W42" s="194">
        <f>S42-S41</f>
        <v>0</v>
      </c>
      <c r="X42" s="194">
        <f>T42/4</f>
        <v>0</v>
      </c>
      <c r="Z42" s="494"/>
      <c r="AA42" s="317" t="str">
        <f>+R45</f>
        <v>DEBEAUX fabrice</v>
      </c>
      <c r="AB42" s="12"/>
      <c r="AC42" s="194">
        <f>IF(AB42&gt;AB41,4,0)</f>
        <v>0</v>
      </c>
      <c r="AD42" s="194">
        <f t="shared" si="81"/>
        <v>0</v>
      </c>
      <c r="AE42" s="194">
        <f>+AB41</f>
        <v>0</v>
      </c>
      <c r="AF42" s="194">
        <f>AB42-AB41</f>
        <v>0</v>
      </c>
      <c r="AG42" s="194">
        <f>AC42/4</f>
        <v>0</v>
      </c>
      <c r="AH42"/>
      <c r="AI42" s="397" t="str">
        <f t="shared" ref="AI42:AI45" si="104">IF(J42&lt;&gt;"",I42," ")</f>
        <v xml:space="preserve"> </v>
      </c>
      <c r="AJ42" s="439">
        <f t="shared" ref="AJ42:AJ45" si="105">SUM(IFERROR(VLOOKUP(AI42,$I$41:$K$46,3,0),0),IFERROR(VLOOKUP(AI42,$R$41:$T$46,3,0),0),IFERROR(VLOOKUP(AI42,$AA$41:$AC$46,3,0),0))</f>
        <v>0</v>
      </c>
      <c r="AK42" s="279">
        <f t="shared" ref="AK42:AK45" si="106">SUM(IFERROR(VLOOKUP(AI42,$I$41:$N$46,6,0),0),IFERROR(VLOOKUP(AI42,$R$41:$W$46,6,0),0),IFERROR(VLOOKUP(AI42,$AA$41:$AF$46,6,0),0))</f>
        <v>0</v>
      </c>
      <c r="AL42" s="292">
        <f t="shared" ref="AL42:AL45" si="107">SUM(IFERROR(VLOOKUP(AI42,$I$41:$M$46,4,0),0),IFERROR(VLOOKUP(AI42,$R$41:$V$46,4,0),0),IFERROR(VLOOKUP(AI42,$AA$41:$AE$46,4,0),0))</f>
        <v>0</v>
      </c>
      <c r="AM42" s="279">
        <f t="shared" ref="AM42:AM45" si="108">SUM(IFERROR(VLOOKUP(AI42,$I$41:$M$46,5,0),0),IFERROR(VLOOKUP(AI42,$R$41:$V$46,5,0),0),IFERROR(VLOOKUP(AI42,$AA$41:$AE$46,5,0),0))</f>
        <v>0</v>
      </c>
      <c r="AN42"/>
      <c r="AO42" s="202">
        <v>0</v>
      </c>
      <c r="AP42" s="2"/>
      <c r="AQ42" s="16">
        <f t="shared" si="68"/>
        <v>1.00000000042</v>
      </c>
      <c r="AR42" s="41">
        <f>IF(AI42="","",SMALL(AQ$41:AQ$46,ROWS(AJ$41:AJ42)))</f>
        <v>1.00000000042</v>
      </c>
      <c r="AS42" s="194"/>
      <c r="AT42" s="198">
        <f>IF(AR42="","",IF(AND(AV41=AV42,AX41=AX42,AY41=AY42,AW42=AW41,AZ42=AZ41),AT41,$AT$7+1))</f>
        <v>1</v>
      </c>
      <c r="AU42" s="304" t="str">
        <f t="shared" ref="AU42:AU45" si="109">IF(OR(AI42="",AJ42=""),"",INDEX($AI$41:$AI$46,MATCH(AR42,$AQ$41:$AQ$46,0)))</f>
        <v xml:space="preserve"> </v>
      </c>
      <c r="AV42" s="217">
        <f t="shared" ref="AV42:AV45" si="110">IF(OR(AI42="",AJ42=""),"",INDEX($AJ$41:$AJ$46,MATCH(AR42,$AQ$41:$AQ$46,0)))</f>
        <v>0</v>
      </c>
      <c r="AW42" s="217">
        <f t="shared" ref="AW42:AW45" si="111">IF(OR(AI42="",AK42=""),"",INDEX($AK$41:$AK$46,MATCH(AR42,$AQ$41:$AQ$46,0)))</f>
        <v>0</v>
      </c>
      <c r="AX42" s="217">
        <f t="shared" ref="AX42:AX45" si="112">IF(OR(AI42="",AL42=""),"",INDEX($AL$41:$AL$46,MATCH(AR42,$AQ$41:$AQ$46,0)))</f>
        <v>0</v>
      </c>
      <c r="AY42" s="217">
        <f t="shared" ref="AY42:AY45" si="113">IF(OR(AI42="",AM42=""),"",INDEX($AM$41:$AM$46,MATCH(AR42,$AQ$41:$AQ$46,0)))</f>
        <v>0</v>
      </c>
      <c r="AZ42" s="217">
        <f t="shared" ref="AZ42:AZ45" si="114">IF(OR(AI42="",AO42=""),"",INDEX($AO$41:$AO$46,MATCH(AR42,$AQ$41:$AQ$46,0)))</f>
        <v>0</v>
      </c>
      <c r="BA42" s="212"/>
      <c r="BB42" s="333" t="str">
        <f>+I42</f>
        <v>BOURCIER Didier</v>
      </c>
      <c r="BC42" s="218">
        <f t="shared" ref="BC42:BC45" si="115">SUM(BD42:BF42)</f>
        <v>0</v>
      </c>
      <c r="BD42" s="219">
        <f t="array" ref="BD42">IF(OR(I41:I42="OFFICE"),0,IF(J42&gt;J41,1,0))</f>
        <v>0</v>
      </c>
      <c r="BE42" s="188">
        <f t="array" ref="BE42">IF(OR(R41:R42="OFFICE"),0,IF(S41&lt;S42,1,0))</f>
        <v>0</v>
      </c>
      <c r="BF42" s="220">
        <f t="array" ref="BF42">IF(OR(AA43:AA44="OFFICE"),0,IF(AB44&lt;AB43,1,0))</f>
        <v>0</v>
      </c>
    </row>
    <row r="43" spans="1:58" s="10" customFormat="1" ht="24.95" customHeight="1">
      <c r="A43" s="565">
        <v>36</v>
      </c>
      <c r="B43" s="571" t="s">
        <v>122</v>
      </c>
      <c r="C43" s="573" t="s">
        <v>176</v>
      </c>
      <c r="D43" s="463">
        <v>40</v>
      </c>
      <c r="F43" s="487"/>
      <c r="G43" s="15">
        <v>17</v>
      </c>
      <c r="H43" s="484">
        <v>4</v>
      </c>
      <c r="I43" s="390" t="str">
        <f>IF(ISNA(MATCH(G43,$D$7:$D$50,0)),"",INDEX($B$7:$B$50,MATCH(G43,$D$7:$D$50,0)))</f>
        <v>DEBEAUX fabrice</v>
      </c>
      <c r="J43" s="7"/>
      <c r="K43" s="194">
        <f>IF(J43&gt;J44,4,0)</f>
        <v>0</v>
      </c>
      <c r="L43" s="194">
        <f t="shared" si="79"/>
        <v>0</v>
      </c>
      <c r="M43" s="194">
        <f>+J44</f>
        <v>0</v>
      </c>
      <c r="N43" s="194">
        <f t="shared" ref="N43" si="116">J43-J44</f>
        <v>0</v>
      </c>
      <c r="O43" s="194">
        <f>K43/4</f>
        <v>0</v>
      </c>
      <c r="P43" s="9"/>
      <c r="Q43" s="484">
        <v>2</v>
      </c>
      <c r="R43" s="312" t="str">
        <f>+I41</f>
        <v>FAURITE Michel</v>
      </c>
      <c r="S43" s="7"/>
      <c r="T43" s="194">
        <f>IF(S43&gt;S44,4,0)</f>
        <v>0</v>
      </c>
      <c r="U43" s="194">
        <f t="shared" si="80"/>
        <v>0</v>
      </c>
      <c r="V43" s="194">
        <f>+S44</f>
        <v>0</v>
      </c>
      <c r="W43" s="194">
        <f t="shared" ref="W43" si="117">S43-S44</f>
        <v>0</v>
      </c>
      <c r="X43" s="194">
        <f>T43/4</f>
        <v>0</v>
      </c>
      <c r="Z43" s="484">
        <v>6</v>
      </c>
      <c r="AA43" s="316" t="str">
        <f>+R42</f>
        <v>BOURCIER Didier</v>
      </c>
      <c r="AB43" s="7"/>
      <c r="AC43" s="194">
        <f>IF(AB43&gt;AB44,4,0)</f>
        <v>0</v>
      </c>
      <c r="AD43" s="194">
        <f t="shared" si="81"/>
        <v>0</v>
      </c>
      <c r="AE43" s="194">
        <f>+AB44</f>
        <v>0</v>
      </c>
      <c r="AF43" s="194">
        <f t="shared" ref="AF43" si="118">AB43-AB44</f>
        <v>0</v>
      </c>
      <c r="AG43" s="194">
        <f>AC43/4</f>
        <v>0</v>
      </c>
      <c r="AH43"/>
      <c r="AI43" s="397" t="str">
        <f t="shared" si="104"/>
        <v xml:space="preserve"> </v>
      </c>
      <c r="AJ43" s="439">
        <f t="shared" si="105"/>
        <v>0</v>
      </c>
      <c r="AK43" s="279">
        <f t="shared" si="106"/>
        <v>0</v>
      </c>
      <c r="AL43" s="292">
        <f t="shared" si="107"/>
        <v>0</v>
      </c>
      <c r="AM43" s="279">
        <f t="shared" si="108"/>
        <v>0</v>
      </c>
      <c r="AN43"/>
      <c r="AO43" s="202">
        <v>0</v>
      </c>
      <c r="AP43" s="2"/>
      <c r="AQ43" s="16">
        <f t="shared" si="68"/>
        <v>1.00000000043</v>
      </c>
      <c r="AR43" s="41">
        <f>IF(AI43="","",SMALL(AQ$41:AQ$46,ROWS(AJ$41:AJ43)))</f>
        <v>1.00000000043</v>
      </c>
      <c r="AS43" s="194"/>
      <c r="AT43" s="198">
        <f>IF(AR43="","",IF(AND(AV42=AV43,AX42=AX43,AY42=AY43,AW43=AW42,AZ43=AZ42),AT42,$AT$7+2))</f>
        <v>1</v>
      </c>
      <c r="AU43" s="304" t="str">
        <f t="shared" si="109"/>
        <v xml:space="preserve"> </v>
      </c>
      <c r="AV43" s="217">
        <f t="shared" si="110"/>
        <v>0</v>
      </c>
      <c r="AW43" s="217">
        <f t="shared" si="111"/>
        <v>0</v>
      </c>
      <c r="AX43" s="217">
        <f t="shared" si="112"/>
        <v>0</v>
      </c>
      <c r="AY43" s="217">
        <f t="shared" si="113"/>
        <v>0</v>
      </c>
      <c r="AZ43" s="217">
        <f t="shared" si="114"/>
        <v>0</v>
      </c>
      <c r="BA43" s="212"/>
      <c r="BB43" s="333" t="str">
        <f>+I43</f>
        <v>DEBEAUX fabrice</v>
      </c>
      <c r="BC43" s="218">
        <f t="shared" si="115"/>
        <v>0</v>
      </c>
      <c r="BD43" s="219">
        <f t="array" ref="BD43">IF(OR(I43:I44="OFFICE"),0,IF(J43&gt;J44,1,0))</f>
        <v>0</v>
      </c>
      <c r="BE43" s="188">
        <f t="array" ref="BE43">IF(OR(R45:R46="OFFICE"),0,IF(S45&gt;S46,1,0))</f>
        <v>0</v>
      </c>
      <c r="BF43" s="220">
        <f t="array" ref="BF43">IF(OR(AA41:AA42="OFFICE"),0,IF(AB42&gt;AB41,1,0))</f>
        <v>0</v>
      </c>
    </row>
    <row r="44" spans="1:58" s="10" customFormat="1" ht="24.95" customHeight="1" thickBot="1">
      <c r="A44" s="565">
        <v>37</v>
      </c>
      <c r="B44" s="570" t="s">
        <v>151</v>
      </c>
      <c r="C44" s="471" t="s">
        <v>187</v>
      </c>
      <c r="D44" s="463">
        <v>34</v>
      </c>
      <c r="F44" s="487"/>
      <c r="G44" s="15">
        <v>36</v>
      </c>
      <c r="H44" s="494"/>
      <c r="I44" s="306" t="str">
        <f>IF(ISNA(MATCH(G44,$D$7:$D$50,0)),"",INDEX($B$7:$B$50,MATCH(G44,$D$7:$D$50,0)))</f>
        <v>BOUVERON Yves</v>
      </c>
      <c r="J44" s="11"/>
      <c r="K44" s="194">
        <f>IF(J44&gt;J43,4,0)</f>
        <v>0</v>
      </c>
      <c r="L44" s="194">
        <f t="shared" si="79"/>
        <v>0</v>
      </c>
      <c r="M44" s="194">
        <f>+J43</f>
        <v>0</v>
      </c>
      <c r="N44" s="194">
        <f>J44-J43</f>
        <v>0</v>
      </c>
      <c r="O44" s="194">
        <f>K44/4</f>
        <v>0</v>
      </c>
      <c r="P44" s="9"/>
      <c r="Q44" s="485"/>
      <c r="R44" s="313" t="str">
        <f>+I44</f>
        <v>BOUVERON Yves</v>
      </c>
      <c r="S44" s="11"/>
      <c r="T44" s="194">
        <f>IF(S44&gt;S43,4,0)</f>
        <v>0</v>
      </c>
      <c r="U44" s="194">
        <f t="shared" si="80"/>
        <v>0</v>
      </c>
      <c r="V44" s="194">
        <f>+S43</f>
        <v>0</v>
      </c>
      <c r="W44" s="194">
        <f t="shared" ref="W44" si="119">S44-S43</f>
        <v>0</v>
      </c>
      <c r="X44" s="194">
        <f>T44/4</f>
        <v>0</v>
      </c>
      <c r="Z44" s="485"/>
      <c r="AA44" s="318" t="str">
        <f>+R44</f>
        <v>BOUVERON Yves</v>
      </c>
      <c r="AB44" s="12"/>
      <c r="AC44" s="194">
        <f>IF(AB44&gt;AB43,4,0)</f>
        <v>0</v>
      </c>
      <c r="AD44" s="194">
        <f t="shared" si="81"/>
        <v>0</v>
      </c>
      <c r="AE44" s="194">
        <f>+AB43</f>
        <v>0</v>
      </c>
      <c r="AF44" s="194">
        <f t="shared" ref="AF44" si="120">AB44-AB43</f>
        <v>0</v>
      </c>
      <c r="AG44" s="194">
        <f>AC44/4</f>
        <v>0</v>
      </c>
      <c r="AH44"/>
      <c r="AI44" s="397" t="str">
        <f t="shared" si="104"/>
        <v xml:space="preserve"> </v>
      </c>
      <c r="AJ44" s="439">
        <f t="shared" si="105"/>
        <v>0</v>
      </c>
      <c r="AK44" s="279">
        <f t="shared" si="106"/>
        <v>0</v>
      </c>
      <c r="AL44" s="292">
        <f t="shared" si="107"/>
        <v>0</v>
      </c>
      <c r="AM44" s="279">
        <f t="shared" si="108"/>
        <v>0</v>
      </c>
      <c r="AN44"/>
      <c r="AO44" s="202">
        <v>0</v>
      </c>
      <c r="AP44" s="2"/>
      <c r="AQ44" s="16">
        <f t="shared" si="68"/>
        <v>1.00000000044</v>
      </c>
      <c r="AR44" s="41">
        <f>IF(AI44="","",SMALL(AQ$41:AQ$46,ROWS(AJ$41:AJ44)))</f>
        <v>1.00000000044</v>
      </c>
      <c r="AS44" s="194"/>
      <c r="AT44" s="198">
        <f>IF(AR44="","",IF(AND(AV43=AV44,AX43=AX44,AY43=AY44,AW44=AW43,AZ44=AZ43),AT43,$AT$7+3))</f>
        <v>1</v>
      </c>
      <c r="AU44" s="305" t="str">
        <f t="shared" si="109"/>
        <v xml:space="preserve"> </v>
      </c>
      <c r="AV44" s="222">
        <f t="shared" si="110"/>
        <v>0</v>
      </c>
      <c r="AW44" s="222">
        <f t="shared" si="111"/>
        <v>0</v>
      </c>
      <c r="AX44" s="222">
        <f t="shared" si="112"/>
        <v>0</v>
      </c>
      <c r="AY44" s="222">
        <f t="shared" si="113"/>
        <v>0</v>
      </c>
      <c r="AZ44" s="222">
        <f t="shared" si="114"/>
        <v>0</v>
      </c>
      <c r="BA44" s="212"/>
      <c r="BB44" s="334" t="str">
        <f>+I44</f>
        <v>BOUVERON Yves</v>
      </c>
      <c r="BC44" s="223">
        <f t="shared" si="115"/>
        <v>0</v>
      </c>
      <c r="BD44" s="219">
        <f t="array" ref="BD44">IF(OR(I43:I44="OFFICE"),0,IF(J43&lt;J44,1,0))</f>
        <v>0</v>
      </c>
      <c r="BE44" s="224">
        <f t="array" ref="BE44">IF(OR(R43:R44="OFFICE"),0,IF(S44&gt;S43,1,0))</f>
        <v>0</v>
      </c>
      <c r="BF44" s="225">
        <f t="array" ref="BF44">IF(OR(AA43:AA44="OFFICE"),0,IF(AB43&lt;AB44,1,0))</f>
        <v>0</v>
      </c>
    </row>
    <row r="45" spans="1:58" s="10" customFormat="1" ht="24.95" customHeight="1" thickBot="1">
      <c r="A45" s="565">
        <v>38</v>
      </c>
      <c r="B45" s="570" t="s">
        <v>154</v>
      </c>
      <c r="C45" s="471" t="s">
        <v>188</v>
      </c>
      <c r="D45" s="463">
        <v>27</v>
      </c>
      <c r="F45" s="487"/>
      <c r="G45" s="489">
        <v>18</v>
      </c>
      <c r="H45" s="491"/>
      <c r="I45" s="307" t="str">
        <f>IF(ISNA(MATCH(G45,$D$7:$D$50,0)),"",INDEX($B$7:$B$50,MATCH(G45,$D$7:$D$50,0)))</f>
        <v>BIMET Michel</v>
      </c>
      <c r="J45" s="7"/>
      <c r="K45" s="194">
        <f>IF(J45&gt;J46,4,0)</f>
        <v>0</v>
      </c>
      <c r="L45" s="194">
        <f t="shared" si="79"/>
        <v>0</v>
      </c>
      <c r="M45" s="194">
        <f>+J46</f>
        <v>0</v>
      </c>
      <c r="N45" s="194">
        <f t="shared" ref="N45" si="121">J45-J46</f>
        <v>0</v>
      </c>
      <c r="O45" s="195">
        <v>0</v>
      </c>
      <c r="P45" s="9"/>
      <c r="Q45" s="493"/>
      <c r="R45" s="314" t="str">
        <f>+I43</f>
        <v>DEBEAUX fabrice</v>
      </c>
      <c r="S45" s="7"/>
      <c r="T45" s="194">
        <f>IF(S45&gt;S46,4,0)</f>
        <v>0</v>
      </c>
      <c r="U45" s="194">
        <f t="shared" si="80"/>
        <v>0</v>
      </c>
      <c r="V45" s="194">
        <f>+S46</f>
        <v>0</v>
      </c>
      <c r="W45" s="194">
        <f t="shared" ref="W45" si="122">S45-S46</f>
        <v>0</v>
      </c>
      <c r="X45" s="195">
        <v>0</v>
      </c>
      <c r="Z45" s="493"/>
      <c r="AA45" s="319" t="str">
        <f>+R43</f>
        <v>FAURITE Michel</v>
      </c>
      <c r="AB45" s="7"/>
      <c r="AC45" s="194">
        <f>IF(AB45&gt;AB46,4,0)</f>
        <v>0</v>
      </c>
      <c r="AD45" s="194">
        <f t="shared" si="81"/>
        <v>0</v>
      </c>
      <c r="AE45" s="194">
        <f>+AB46</f>
        <v>0</v>
      </c>
      <c r="AF45" s="194">
        <f t="shared" ref="AF45" si="123">AB45-AB46</f>
        <v>0</v>
      </c>
      <c r="AG45" s="195">
        <v>0</v>
      </c>
      <c r="AH45"/>
      <c r="AI45" s="398" t="str">
        <f t="shared" si="104"/>
        <v xml:space="preserve"> </v>
      </c>
      <c r="AJ45" s="440">
        <f t="shared" si="105"/>
        <v>0</v>
      </c>
      <c r="AK45" s="280">
        <f t="shared" si="106"/>
        <v>0</v>
      </c>
      <c r="AL45" s="290">
        <f t="shared" si="107"/>
        <v>0</v>
      </c>
      <c r="AM45" s="280">
        <f t="shared" si="108"/>
        <v>0</v>
      </c>
      <c r="AN45"/>
      <c r="AO45" s="203">
        <v>0</v>
      </c>
      <c r="AP45" s="2"/>
      <c r="AQ45" s="16">
        <f t="shared" si="68"/>
        <v>1.00000000045</v>
      </c>
      <c r="AR45" s="41">
        <f>IF(AI45="","",SMALL(AQ$41:AQ$46,ROWS(AJ$41:AJ45)))</f>
        <v>1.00000000045</v>
      </c>
      <c r="AS45" s="194"/>
      <c r="AT45" s="196">
        <f>IF(AR45="","",IF(AND(AV44=AV45,AX44=AX45,AY44=AY45,AW45=AW44,AZ45=AZ44),AT44,$AT$7+4))</f>
        <v>1</v>
      </c>
      <c r="AU45" s="305" t="str">
        <f t="shared" si="109"/>
        <v xml:space="preserve"> </v>
      </c>
      <c r="AV45" s="222">
        <f t="shared" si="110"/>
        <v>0</v>
      </c>
      <c r="AW45" s="222">
        <f t="shared" si="111"/>
        <v>0</v>
      </c>
      <c r="AX45" s="222">
        <f t="shared" si="112"/>
        <v>0</v>
      </c>
      <c r="AY45" s="222">
        <f t="shared" si="113"/>
        <v>0</v>
      </c>
      <c r="AZ45" s="222">
        <f t="shared" si="114"/>
        <v>0</v>
      </c>
      <c r="BA45" s="212"/>
      <c r="BB45" s="335" t="str">
        <f>+I45</f>
        <v>BIMET Michel</v>
      </c>
      <c r="BC45" s="227">
        <f t="shared" si="115"/>
        <v>0</v>
      </c>
      <c r="BD45" s="228">
        <f t="array" ref="BD45">IF(OR(I45:I46="OFFICE"),0,IF(J45&gt;J46,1,0))</f>
        <v>0</v>
      </c>
      <c r="BE45" s="229">
        <f t="array" ref="BE45">IF(OR(R41:R42="OFFICE"),0,IF(S41&gt;S42,1,0))</f>
        <v>0</v>
      </c>
      <c r="BF45" s="230">
        <f t="array" ref="BF45">IF(OR(AA41:AA42="OFFICE"),0,IF(AB41&gt;AB42,1,0))</f>
        <v>0</v>
      </c>
    </row>
    <row r="46" spans="1:58" s="10" customFormat="1" ht="24.95" customHeight="1" thickBot="1">
      <c r="A46" s="565">
        <v>39</v>
      </c>
      <c r="B46" s="570" t="s">
        <v>149</v>
      </c>
      <c r="C46" s="471" t="s">
        <v>190</v>
      </c>
      <c r="D46" s="463">
        <v>28</v>
      </c>
      <c r="F46" s="488"/>
      <c r="G46" s="490"/>
      <c r="H46" s="492"/>
      <c r="I46" s="309" t="s">
        <v>82</v>
      </c>
      <c r="J46" s="12"/>
      <c r="K46" s="196">
        <f>IF(J46&gt;J45,4,0)</f>
        <v>0</v>
      </c>
      <c r="L46" s="197">
        <f t="shared" si="79"/>
        <v>0</v>
      </c>
      <c r="M46" s="197">
        <f>+J45</f>
        <v>0</v>
      </c>
      <c r="N46" s="197">
        <f>J46-J45</f>
        <v>0</v>
      </c>
      <c r="O46" s="197"/>
      <c r="P46" s="192"/>
      <c r="Q46" s="492"/>
      <c r="R46" s="309" t="s">
        <v>82</v>
      </c>
      <c r="S46" s="12"/>
      <c r="T46" s="199">
        <v>0</v>
      </c>
      <c r="U46" s="197">
        <f t="shared" si="80"/>
        <v>0</v>
      </c>
      <c r="V46" s="197">
        <f>+S45</f>
        <v>0</v>
      </c>
      <c r="W46" s="197">
        <f t="shared" ref="W46" si="124">S46-S45</f>
        <v>0</v>
      </c>
      <c r="X46" s="197"/>
      <c r="Y46" s="192"/>
      <c r="Z46" s="492"/>
      <c r="AA46" s="309" t="s">
        <v>82</v>
      </c>
      <c r="AB46" s="12"/>
      <c r="AC46" s="199">
        <v>0</v>
      </c>
      <c r="AD46" s="197">
        <f t="shared" si="81"/>
        <v>0</v>
      </c>
      <c r="AE46" s="197">
        <f>+AB45</f>
        <v>0</v>
      </c>
      <c r="AF46" s="197">
        <f t="shared" ref="AF46" si="125">AB46-AB45</f>
        <v>0</v>
      </c>
      <c r="AG46" s="197"/>
      <c r="AH46"/>
      <c r="AI46" s="325"/>
      <c r="AJ46" s="288"/>
      <c r="AK46" s="288">
        <f>SUM(AK41:AK45)</f>
        <v>0</v>
      </c>
      <c r="AL46" s="288">
        <f>SUM(AL41:AL45)</f>
        <v>0</v>
      </c>
      <c r="AM46" s="288">
        <f>SUM(AM41:AM45)</f>
        <v>0</v>
      </c>
      <c r="AN46"/>
      <c r="AO46" s="205"/>
      <c r="AP46" s="42"/>
      <c r="AQ46" s="16"/>
      <c r="AR46" s="204"/>
      <c r="AS46" s="204"/>
      <c r="AT46" s="197"/>
      <c r="AU46" s="204"/>
      <c r="AV46" s="204"/>
      <c r="AW46" s="204"/>
      <c r="AX46" s="204"/>
      <c r="AY46" s="204"/>
      <c r="AZ46" s="212"/>
      <c r="BA46" s="212"/>
      <c r="BB46" s="336"/>
      <c r="BC46" s="232">
        <f>SUM(BC41:BC45)</f>
        <v>0</v>
      </c>
      <c r="BD46" s="232">
        <f>SUM(BD41:BD45)</f>
        <v>0</v>
      </c>
      <c r="BE46" s="232">
        <f>SUM(BE41:BE45)</f>
        <v>0</v>
      </c>
      <c r="BF46" s="232">
        <f>SUM(BF41:BF45)</f>
        <v>0</v>
      </c>
    </row>
    <row r="47" spans="1:58" s="10" customFormat="1" ht="24.95" customHeight="1" thickBot="1">
      <c r="A47" s="566">
        <v>40</v>
      </c>
      <c r="B47" s="574" t="s">
        <v>162</v>
      </c>
      <c r="C47" s="575" t="s">
        <v>172</v>
      </c>
      <c r="D47" s="580">
        <v>29</v>
      </c>
      <c r="F47" s="486">
        <v>7</v>
      </c>
      <c r="G47" s="14">
        <v>19</v>
      </c>
      <c r="H47" s="484">
        <v>5</v>
      </c>
      <c r="I47" s="390" t="str">
        <f>IF(ISNA(MATCH(G47,$D$7:$D$50,0)),"",INDEX($B$7:$B$50,MATCH(G47,$D$7:$D$350,0)))</f>
        <v>COMBET Philippe</v>
      </c>
      <c r="J47" s="7"/>
      <c r="K47" s="194">
        <f>IF(J47&gt;J48,4,0)</f>
        <v>0</v>
      </c>
      <c r="L47" s="194">
        <f t="shared" si="79"/>
        <v>0</v>
      </c>
      <c r="M47" s="194">
        <f>+J48</f>
        <v>0</v>
      </c>
      <c r="N47" s="194">
        <f>J47-J48</f>
        <v>0</v>
      </c>
      <c r="O47" s="194">
        <f>K47/4</f>
        <v>0</v>
      </c>
      <c r="P47" s="9"/>
      <c r="Q47" s="484">
        <v>3</v>
      </c>
      <c r="R47" s="310" t="str">
        <f>+I51</f>
        <v>PERRET Didier</v>
      </c>
      <c r="S47" s="7"/>
      <c r="T47" s="194">
        <f>IF(S47&gt;S48,4,0)</f>
        <v>0</v>
      </c>
      <c r="U47" s="194">
        <f t="shared" si="80"/>
        <v>0</v>
      </c>
      <c r="V47" s="194">
        <f>+S48</f>
        <v>0</v>
      </c>
      <c r="W47" s="194">
        <f>S47-S48</f>
        <v>0</v>
      </c>
      <c r="X47" s="194">
        <f>T47/4</f>
        <v>0</v>
      </c>
      <c r="Z47" s="484">
        <v>7</v>
      </c>
      <c r="AA47" s="316" t="str">
        <f>+R47</f>
        <v>PERRET Didier</v>
      </c>
      <c r="AB47" s="7"/>
      <c r="AC47" s="194">
        <f>IF(AB47&gt;AB48,4,0)</f>
        <v>0</v>
      </c>
      <c r="AD47" s="194">
        <f t="shared" si="81"/>
        <v>0</v>
      </c>
      <c r="AE47" s="194">
        <f>+AB48</f>
        <v>0</v>
      </c>
      <c r="AF47" s="194">
        <f>AB47-AB48</f>
        <v>0</v>
      </c>
      <c r="AG47" s="194">
        <f>AC47/4</f>
        <v>0</v>
      </c>
      <c r="AH47"/>
      <c r="AI47" s="396" t="str">
        <f>IF(J47&lt;&gt;"",I47," ")</f>
        <v xml:space="preserve"> </v>
      </c>
      <c r="AJ47" s="442">
        <f>SUM(IFERROR(VLOOKUP(AI47,$I$47:$K$52,3,0),0),IFERROR(VLOOKUP(AI47,$R$47:$T$52,3,0),0),IFERROR(VLOOKUP(AI47,$AA$47:$AC$52,3,0),0))</f>
        <v>0</v>
      </c>
      <c r="AK47" s="278">
        <f>SUM(IFERROR(VLOOKUP(AI47,$I$17:$N$52,6,0),0),IFERROR(VLOOKUP(AI47,$R$47:$W$52,6,0),0),IFERROR(VLOOKUP(AI47,$AA$47:$AF$52,6,0),0))</f>
        <v>0</v>
      </c>
      <c r="AL47" s="291">
        <f>SUM(IFERROR(VLOOKUP(AI47,$I$47:$M$52,4,0),0),IFERROR(VLOOKUP(AI47,$R$47:$V$52,4,0),0),IFERROR(VLOOKUP(AI47,$AA$47:$AE$52,4,0),0))</f>
        <v>0</v>
      </c>
      <c r="AM47" s="278">
        <f>SUM(IFERROR(VLOOKUP(AI47,$I$47:$M$52,5,0),0),IFERROR(VLOOKUP(AI47,$R$47:$V$52,5,0),0),IFERROR(VLOOKUP(AI47,$AA$47:$AE$52,5,0),0))</f>
        <v>0</v>
      </c>
      <c r="AN47"/>
      <c r="AO47" s="207">
        <v>0</v>
      </c>
      <c r="AP47" s="2"/>
      <c r="AQ47" s="16">
        <f t="shared" si="68"/>
        <v>1.00000000047</v>
      </c>
      <c r="AR47" s="41">
        <f>IF(AI47="","",SMALL(AQ$47:AQ$52,ROWS(AJ$47:AJ47)))</f>
        <v>1.00000000047</v>
      </c>
      <c r="AS47" s="194"/>
      <c r="AT47" s="198">
        <f>IF(AR47="","",1)</f>
        <v>1</v>
      </c>
      <c r="AU47" s="303" t="str">
        <f>IF(OR(AI47="",AJ47=""),"",INDEX($AI$47:$AI$52,MATCH(AR47,$AQ$47:$AQ$52,0)))</f>
        <v xml:space="preserve"> </v>
      </c>
      <c r="AV47" s="211">
        <f>IF(OR(AI47="",AJ47=""),"",INDEX($AJ$47:$AJ$52,MATCH(AR47,$AQ$47:$AQ$52,0)))</f>
        <v>0</v>
      </c>
      <c r="AW47" s="237">
        <f>IF(OR(AI47="",AK47=""),"",INDEX($AK$47:$AK$52,MATCH(AR47,$AQ$47:$AQ$52,0)))</f>
        <v>0</v>
      </c>
      <c r="AX47" s="211">
        <f>IF(OR(AI47="",AL47=""),"",INDEX($AL$47:$AL$52,MATCH(AR47,$AQ$47:$AQ$52,0)))</f>
        <v>0</v>
      </c>
      <c r="AY47" s="211">
        <f>IF(OR(AI47="",AM47=""),"",INDEX($AM$47:$AM$52,MATCH(AR47,$AQ$47:$AQ$52,0)))</f>
        <v>0</v>
      </c>
      <c r="AZ47" s="210">
        <f>IF(OR(AI47="",AO47=""),"",INDEX($AO$47:$AO$52,MATCH(AR47,$AQ$47:$AQ$52,0)))</f>
        <v>0</v>
      </c>
      <c r="BA47" s="212"/>
      <c r="BB47" s="332" t="str">
        <f>I47</f>
        <v>COMBET Philippe</v>
      </c>
      <c r="BC47" s="213">
        <f>SUM(BD47:BF47)</f>
        <v>0</v>
      </c>
      <c r="BD47" s="214">
        <f t="array" ref="BD47">IF(OR(I47:I48="OFFICE"),0,IF(J47&gt;J48,1,0))</f>
        <v>0</v>
      </c>
      <c r="BE47" s="215">
        <f t="array" ref="BE47">IF(OR(R49:R50="OFFICE"),0,IF(S49&gt;S50,1,0))</f>
        <v>0</v>
      </c>
      <c r="BF47" s="216">
        <f t="array" ref="BF47">IF(OR(AA51:AA52="OFFICE"),0,IF(AB51&gt;AB52,1,0))</f>
        <v>0</v>
      </c>
    </row>
    <row r="48" spans="1:58" ht="24.95" customHeight="1" thickBot="1">
      <c r="A48" s="10"/>
      <c r="B48" s="10"/>
      <c r="C48" s="10"/>
      <c r="D48" s="10"/>
      <c r="F48" s="487"/>
      <c r="G48" s="15">
        <v>37</v>
      </c>
      <c r="H48" s="494"/>
      <c r="I48" s="306" t="str">
        <f>IF(ISNA(MATCH(G48,$D$7:$D$50,0)),"",INDEX($B$7:$B$50,MATCH(G48,$D$7:$D$50,0)))</f>
        <v>DESMARTIN Sébastien</v>
      </c>
      <c r="J48" s="12"/>
      <c r="K48" s="194">
        <f>IF(J48&gt;J47,4,0)</f>
        <v>0</v>
      </c>
      <c r="L48" s="194">
        <f t="shared" si="79"/>
        <v>0</v>
      </c>
      <c r="M48" s="194">
        <f>+J47</f>
        <v>0</v>
      </c>
      <c r="N48" s="194">
        <f>J48-J47</f>
        <v>0</v>
      </c>
      <c r="O48" s="194">
        <f>K48/4</f>
        <v>0</v>
      </c>
      <c r="P48" s="9"/>
      <c r="Q48" s="494"/>
      <c r="R48" s="311" t="str">
        <f>+I48</f>
        <v>DESMARTIN Sébastien</v>
      </c>
      <c r="S48" s="12"/>
      <c r="T48" s="194">
        <f>IF(S48&gt;S47,4,0)</f>
        <v>0</v>
      </c>
      <c r="U48" s="194">
        <f t="shared" si="80"/>
        <v>0</v>
      </c>
      <c r="V48" s="194">
        <f>+S47</f>
        <v>0</v>
      </c>
      <c r="W48" s="194">
        <f>S48-S47</f>
        <v>0</v>
      </c>
      <c r="X48" s="194">
        <f>T48/4</f>
        <v>0</v>
      </c>
      <c r="Y48" s="10"/>
      <c r="Z48" s="494"/>
      <c r="AA48" s="317" t="str">
        <f>+R51</f>
        <v>MANDON Thierry</v>
      </c>
      <c r="AB48" s="12"/>
      <c r="AC48" s="194">
        <f>IF(AB48&gt;AB47,4,0)</f>
        <v>0</v>
      </c>
      <c r="AD48" s="194">
        <f t="shared" si="81"/>
        <v>0</v>
      </c>
      <c r="AE48" s="194">
        <f>+AB47</f>
        <v>0</v>
      </c>
      <c r="AF48" s="194">
        <f>AB48-AB47</f>
        <v>0</v>
      </c>
      <c r="AG48" s="194">
        <f>AC48/4</f>
        <v>0</v>
      </c>
      <c r="AI48" s="397" t="str">
        <f t="shared" ref="AI48:AI51" si="126">IF(J48&lt;&gt;"",I48," ")</f>
        <v xml:space="preserve"> </v>
      </c>
      <c r="AJ48" s="439">
        <f t="shared" ref="AJ48:AJ51" si="127">SUM(IFERROR(VLOOKUP(AI48,$I$47:$K$52,3,0),0),IFERROR(VLOOKUP(AI48,$R$47:$T$52,3,0),0),IFERROR(VLOOKUP(AI48,$AA$47:$AC$52,3,0),0))</f>
        <v>0</v>
      </c>
      <c r="AK48" s="279">
        <f t="shared" ref="AK48:AK51" si="128">SUM(IFERROR(VLOOKUP(AI48,$I$17:$N$52,6,0),0),IFERROR(VLOOKUP(AI48,$R$47:$W$52,6,0),0),IFERROR(VLOOKUP(AI48,$AA$47:$AF$52,6,0),0))</f>
        <v>0</v>
      </c>
      <c r="AL48" s="292">
        <f t="shared" ref="AL48:AL51" si="129">SUM(IFERROR(VLOOKUP(AI48,$I$47:$M$52,4,0),0),IFERROR(VLOOKUP(AI48,$R$47:$V$52,4,0),0),IFERROR(VLOOKUP(AI48,$AA$47:$AE$52,4,0),0))</f>
        <v>0</v>
      </c>
      <c r="AM48" s="279">
        <f t="shared" ref="AM48:AM51" si="130">SUM(IFERROR(VLOOKUP(AI48,$I$47:$M$52,5,0),0),IFERROR(VLOOKUP(AI48,$R$47:$V$52,5,0),0),IFERROR(VLOOKUP(AI48,$AA$47:$AE$52,5,0),0))</f>
        <v>0</v>
      </c>
      <c r="AO48" s="202">
        <v>0</v>
      </c>
      <c r="AP48" s="2"/>
      <c r="AQ48" s="16">
        <f t="shared" si="68"/>
        <v>1.00000000048</v>
      </c>
      <c r="AR48" s="41">
        <f>IF(AI48="","",SMALL(AQ$47:AQ$52,ROWS(AJ$47:AJ48)))</f>
        <v>1.00000000048</v>
      </c>
      <c r="AS48" s="194"/>
      <c r="AT48" s="208">
        <f>IF(AR48="","",IF(AND(AV47=AV48,AX47=AX48,AY47=AY48,AW48=AW47,AZ48=AZ47),AT47,$AT$7+1))</f>
        <v>1</v>
      </c>
      <c r="AU48" s="406" t="str">
        <f t="shared" ref="AU48:AU51" si="131">IF(OR(AI48="",AJ48=""),"",INDEX($AI$47:$AI$52,MATCH(AR48,$AQ$47:$AQ$52,0)))</f>
        <v xml:space="preserve"> </v>
      </c>
      <c r="AV48" s="407">
        <f t="shared" ref="AV48:AV51" si="132">IF(OR(AI48="",AJ48=""),"",INDEX($AJ$47:$AJ$52,MATCH(AR48,$AQ$47:$AQ$52,0)))</f>
        <v>0</v>
      </c>
      <c r="AW48" s="408">
        <f t="shared" ref="AW48:AW51" si="133">IF(OR(AI48="",AK48=""),"",INDEX($AK$47:$AK$52,MATCH(AR48,$AQ$47:$AQ$52,0)))</f>
        <v>0</v>
      </c>
      <c r="AX48" s="407">
        <f t="shared" ref="AX48:AX51" si="134">IF(OR(AI48="",AL48=""),"",INDEX($AL$47:$AL$52,MATCH(AR48,$AQ$47:$AQ$52,0)))</f>
        <v>0</v>
      </c>
      <c r="AY48" s="407">
        <f t="shared" ref="AY48:AY51" si="135">IF(OR(AI48="",AM48=""),"",INDEX($AM$47:$AM$52,MATCH(AR48,$AQ$47:$AQ$52,0)))</f>
        <v>0</v>
      </c>
      <c r="AZ48" s="217">
        <f t="shared" ref="AZ48:AZ51" si="136">IF(OR(AI48="",AO48=""),"",INDEX($AO$47:$AO$52,MATCH(AR48,$AQ$47:$AQ$52,0)))</f>
        <v>0</v>
      </c>
      <c r="BA48" s="212"/>
      <c r="BB48" s="333" t="str">
        <f>+I48</f>
        <v>DESMARTIN Sébastien</v>
      </c>
      <c r="BC48" s="218">
        <f t="shared" ref="BC48:BC51" si="137">SUM(BD48:BF48)</f>
        <v>0</v>
      </c>
      <c r="BD48" s="219">
        <f t="array" ref="BD48">IF(OR(I47:I48="OFFICE"),0,IF(J48&gt;J47,1,0))</f>
        <v>0</v>
      </c>
      <c r="BE48" s="188">
        <f t="array" ref="BE48">IF(OR(R49:R50="OFFICE"),0,IF(S50&gt;S49,1,0))</f>
        <v>0</v>
      </c>
      <c r="BF48" s="220">
        <f t="array" ref="BF48">IF(OR(AA49:AA50="OFFICE"),0,IF(AB50&gt;AB49,1,0))</f>
        <v>0</v>
      </c>
    </row>
    <row r="49" spans="1:58" ht="24.95" customHeight="1">
      <c r="A49" s="10"/>
      <c r="B49" s="10"/>
      <c r="C49" s="10"/>
      <c r="D49" s="10"/>
      <c r="F49" s="487"/>
      <c r="G49" s="15">
        <v>20</v>
      </c>
      <c r="H49" s="484">
        <v>6</v>
      </c>
      <c r="I49" s="390" t="str">
        <f>IF(ISNA(MATCH(G49,$D$7:$D$50,0)),"",INDEX($B$7:$B$50,MATCH(G49,$D$7:$D$50,0)))</f>
        <v>MANDON Thierry</v>
      </c>
      <c r="J49" s="7"/>
      <c r="K49" s="194">
        <f>IF(J49&gt;J50,4,0)</f>
        <v>0</v>
      </c>
      <c r="L49" s="194">
        <f t="shared" si="79"/>
        <v>0</v>
      </c>
      <c r="M49" s="194">
        <f>+J50</f>
        <v>0</v>
      </c>
      <c r="N49" s="194">
        <f t="shared" ref="N49" si="138">J49-J50</f>
        <v>0</v>
      </c>
      <c r="O49" s="194">
        <f>K49/4</f>
        <v>0</v>
      </c>
      <c r="P49" s="9"/>
      <c r="Q49" s="484">
        <v>4</v>
      </c>
      <c r="R49" s="312" t="str">
        <f>+I47</f>
        <v>COMBET Philippe</v>
      </c>
      <c r="S49" s="7"/>
      <c r="T49" s="194">
        <f>IF(S49&gt;S50,4,0)</f>
        <v>0</v>
      </c>
      <c r="U49" s="194">
        <f t="shared" si="80"/>
        <v>0</v>
      </c>
      <c r="V49" s="194">
        <f>+S50</f>
        <v>0</v>
      </c>
      <c r="W49" s="194">
        <f t="shared" ref="W49" si="139">S49-S50</f>
        <v>0</v>
      </c>
      <c r="X49" s="194">
        <f>T49/4</f>
        <v>0</v>
      </c>
      <c r="Y49" s="10"/>
      <c r="Z49" s="484">
        <v>8</v>
      </c>
      <c r="AA49" s="316" t="str">
        <f>+R48</f>
        <v>DESMARTIN Sébastien</v>
      </c>
      <c r="AB49" s="7"/>
      <c r="AC49" s="194">
        <f>IF(AB49&gt;AB50,4,0)</f>
        <v>0</v>
      </c>
      <c r="AD49" s="194">
        <f t="shared" si="81"/>
        <v>0</v>
      </c>
      <c r="AE49" s="194">
        <f>+AB50</f>
        <v>0</v>
      </c>
      <c r="AF49" s="194">
        <f t="shared" ref="AF49" si="140">AB49-AB50</f>
        <v>0</v>
      </c>
      <c r="AG49" s="194">
        <f>AC49/4</f>
        <v>0</v>
      </c>
      <c r="AI49" s="397" t="str">
        <f t="shared" si="126"/>
        <v xml:space="preserve"> </v>
      </c>
      <c r="AJ49" s="439">
        <f t="shared" si="127"/>
        <v>0</v>
      </c>
      <c r="AK49" s="279">
        <f t="shared" si="128"/>
        <v>0</v>
      </c>
      <c r="AL49" s="292">
        <f t="shared" si="129"/>
        <v>0</v>
      </c>
      <c r="AM49" s="279">
        <f t="shared" si="130"/>
        <v>0</v>
      </c>
      <c r="AO49" s="202">
        <v>0</v>
      </c>
      <c r="AP49" s="2"/>
      <c r="AQ49" s="16">
        <f t="shared" si="68"/>
        <v>1.00000000049</v>
      </c>
      <c r="AR49" s="41">
        <f>IF(AI49="","",SMALL(AQ$47:AQ$52,ROWS(AJ$47:AJ49)))</f>
        <v>1.00000000049</v>
      </c>
      <c r="AS49" s="194"/>
      <c r="AT49" s="208">
        <f>IF(AR49="","",IF(AND(AV48=AV49,AX48=AX49,AY48=AY49,AW49=AW48,AZ49=AZ48),AT48,$AT$7+2))</f>
        <v>1</v>
      </c>
      <c r="AU49" s="406" t="str">
        <f t="shared" si="131"/>
        <v xml:space="preserve"> </v>
      </c>
      <c r="AV49" s="407">
        <f t="shared" si="132"/>
        <v>0</v>
      </c>
      <c r="AW49" s="408">
        <f t="shared" si="133"/>
        <v>0</v>
      </c>
      <c r="AX49" s="407">
        <f t="shared" si="134"/>
        <v>0</v>
      </c>
      <c r="AY49" s="407">
        <f t="shared" si="135"/>
        <v>0</v>
      </c>
      <c r="AZ49" s="217">
        <f t="shared" si="136"/>
        <v>0</v>
      </c>
      <c r="BA49" s="212"/>
      <c r="BB49" s="333" t="str">
        <f>+I49</f>
        <v>MANDON Thierry</v>
      </c>
      <c r="BC49" s="218">
        <f t="shared" si="137"/>
        <v>0</v>
      </c>
      <c r="BD49" s="219">
        <f t="array" ref="BD49">IF(OR(I49:I50="OFFICE"),0,IF(J49&gt;J50,1,0))</f>
        <v>0</v>
      </c>
      <c r="BE49" s="188">
        <f t="array" ref="BE49">IF(OR(R51:R52="OFFICE"),0,IF(S51&gt;S52,1,0))</f>
        <v>0</v>
      </c>
      <c r="BF49" s="220">
        <f t="array" ref="BF49">IF(OR(AA47:AA48="OFFICE"),0,IF(AB48&gt;AB47,1,0))</f>
        <v>0</v>
      </c>
    </row>
    <row r="50" spans="1:58" ht="24.95" customHeight="1" thickBot="1">
      <c r="B50" s="10"/>
      <c r="C50" s="10"/>
      <c r="F50" s="487"/>
      <c r="G50" s="15">
        <v>38</v>
      </c>
      <c r="H50" s="494"/>
      <c r="I50" s="306" t="str">
        <f>IF(ISNA(MATCH(G50,$D$7:$D$50,0)),"",INDEX($B$7:$B$50,MATCH(G50,$D$7:$D$50,0)))</f>
        <v>SAINT ANDRE Stéphane</v>
      </c>
      <c r="J50" s="11"/>
      <c r="K50" s="194">
        <f>IF(J50&gt;J49,4,0)</f>
        <v>0</v>
      </c>
      <c r="L50" s="194">
        <f t="shared" si="79"/>
        <v>0</v>
      </c>
      <c r="M50" s="194">
        <f>+J49</f>
        <v>0</v>
      </c>
      <c r="N50" s="194">
        <f>J50-J49</f>
        <v>0</v>
      </c>
      <c r="O50" s="194">
        <f>K50/4</f>
        <v>0</v>
      </c>
      <c r="P50" s="9"/>
      <c r="Q50" s="485"/>
      <c r="R50" s="313" t="str">
        <f>+I50</f>
        <v>SAINT ANDRE Stéphane</v>
      </c>
      <c r="S50" s="11"/>
      <c r="T50" s="194">
        <f>IF(S50&gt;S49,4,0)</f>
        <v>0</v>
      </c>
      <c r="U50" s="194">
        <f t="shared" si="80"/>
        <v>0</v>
      </c>
      <c r="V50" s="194">
        <f>+S49</f>
        <v>0</v>
      </c>
      <c r="W50" s="194">
        <f t="shared" ref="W50" si="141">S50-S49</f>
        <v>0</v>
      </c>
      <c r="X50" s="194">
        <f>T50/4</f>
        <v>0</v>
      </c>
      <c r="Y50" s="10"/>
      <c r="Z50" s="485"/>
      <c r="AA50" s="318" t="str">
        <f>+R50</f>
        <v>SAINT ANDRE Stéphane</v>
      </c>
      <c r="AB50" s="12"/>
      <c r="AC50" s="194">
        <f>IF(AB50&gt;AB49,4,0)</f>
        <v>0</v>
      </c>
      <c r="AD50" s="194">
        <f t="shared" si="81"/>
        <v>0</v>
      </c>
      <c r="AE50" s="194">
        <f>+AB49</f>
        <v>0</v>
      </c>
      <c r="AF50" s="194">
        <f t="shared" ref="AF50" si="142">AB50-AB49</f>
        <v>0</v>
      </c>
      <c r="AG50" s="194">
        <f>AC50/4</f>
        <v>0</v>
      </c>
      <c r="AI50" s="397" t="str">
        <f t="shared" si="126"/>
        <v xml:space="preserve"> </v>
      </c>
      <c r="AJ50" s="439">
        <f t="shared" si="127"/>
        <v>0</v>
      </c>
      <c r="AK50" s="279">
        <f t="shared" si="128"/>
        <v>0</v>
      </c>
      <c r="AL50" s="292">
        <f t="shared" si="129"/>
        <v>0</v>
      </c>
      <c r="AM50" s="279">
        <f t="shared" si="130"/>
        <v>0</v>
      </c>
      <c r="AO50" s="202">
        <v>0</v>
      </c>
      <c r="AP50" s="2"/>
      <c r="AQ50" s="16">
        <f t="shared" si="68"/>
        <v>1.0000000005</v>
      </c>
      <c r="AR50" s="41">
        <f>IF(AI50="","",SMALL(AQ$47:AQ$52,ROWS(AJ$47:AJ50)))</f>
        <v>1.0000000005</v>
      </c>
      <c r="AS50" s="194"/>
      <c r="AT50" s="208">
        <f>IF(AR50="","",IF(AND(AV49=AV50,AX49=AX50,AY49=AY50,AW50=AW49,AZ50=AZ49),AT49,$AT$7+3))</f>
        <v>1</v>
      </c>
      <c r="AU50" s="409" t="str">
        <f t="shared" si="131"/>
        <v xml:space="preserve"> </v>
      </c>
      <c r="AV50" s="410">
        <f t="shared" si="132"/>
        <v>0</v>
      </c>
      <c r="AW50" s="411">
        <f t="shared" si="133"/>
        <v>0</v>
      </c>
      <c r="AX50" s="410">
        <f t="shared" si="134"/>
        <v>0</v>
      </c>
      <c r="AY50" s="410">
        <f t="shared" si="135"/>
        <v>0</v>
      </c>
      <c r="AZ50" s="222">
        <f t="shared" si="136"/>
        <v>0</v>
      </c>
      <c r="BA50" s="212"/>
      <c r="BB50" s="334" t="str">
        <f>+I50</f>
        <v>SAINT ANDRE Stéphane</v>
      </c>
      <c r="BC50" s="223">
        <f t="shared" si="137"/>
        <v>0</v>
      </c>
      <c r="BD50" s="219">
        <f t="array" ref="BD50">IF(OR(I49:I50="OFFICE"),0,IF(J49&lt;J50,1,0))</f>
        <v>0</v>
      </c>
      <c r="BE50" s="224">
        <f t="array" ref="BE50">IF(OR(R47:R48="OFFICE"),0,IF(S48&gt;S47,1,0))</f>
        <v>0</v>
      </c>
      <c r="BF50" s="225">
        <f t="array" ref="BF50">IF(OR(AA49:AA50="OFFICE"),0,IF(AB49&gt;AB50,1,0))</f>
        <v>0</v>
      </c>
    </row>
    <row r="51" spans="1:58" ht="24.95" customHeight="1" thickBot="1">
      <c r="B51" s="10"/>
      <c r="C51" s="10"/>
      <c r="F51" s="487"/>
      <c r="G51" s="489">
        <v>21</v>
      </c>
      <c r="H51" s="491"/>
      <c r="I51" s="307" t="str">
        <f>IF(ISNA(MATCH(G51,$D$7:$D$50,0)),"",INDEX($B$7:$B$50,MATCH(G51,$D$7:$D$50,0)))</f>
        <v>PERRET Didier</v>
      </c>
      <c r="J51" s="7"/>
      <c r="K51" s="194" t="b">
        <f>IF(J51&gt;J524,0)</f>
        <v>0</v>
      </c>
      <c r="L51" s="194">
        <f t="shared" si="79"/>
        <v>0</v>
      </c>
      <c r="M51" s="194">
        <f>+J52</f>
        <v>0</v>
      </c>
      <c r="N51" s="194">
        <f t="shared" ref="N51" si="143">J51-J52</f>
        <v>0</v>
      </c>
      <c r="O51" s="195">
        <v>0</v>
      </c>
      <c r="P51" s="9"/>
      <c r="Q51" s="493"/>
      <c r="R51" s="314" t="str">
        <f>+I49</f>
        <v>MANDON Thierry</v>
      </c>
      <c r="S51" s="7"/>
      <c r="T51" s="194">
        <f>IF(S51&gt;S52,4,0)</f>
        <v>0</v>
      </c>
      <c r="U51" s="194">
        <f t="shared" si="80"/>
        <v>0</v>
      </c>
      <c r="V51" s="194">
        <f>+S52</f>
        <v>0</v>
      </c>
      <c r="W51" s="194">
        <f t="shared" ref="W51" si="144">S51-S52</f>
        <v>0</v>
      </c>
      <c r="X51" s="195">
        <v>0</v>
      </c>
      <c r="Y51" s="40"/>
      <c r="Z51" s="493"/>
      <c r="AA51" s="319" t="str">
        <f>+R49</f>
        <v>COMBET Philippe</v>
      </c>
      <c r="AB51" s="7"/>
      <c r="AC51" s="194">
        <f>IF(AB51&gt;AB52,4,0)</f>
        <v>0</v>
      </c>
      <c r="AD51" s="194">
        <f t="shared" si="81"/>
        <v>0</v>
      </c>
      <c r="AE51" s="194">
        <f>+AB52</f>
        <v>0</v>
      </c>
      <c r="AF51" s="194">
        <f t="shared" ref="AF51" si="145">AB51-AB52</f>
        <v>0</v>
      </c>
      <c r="AG51" s="195">
        <v>0</v>
      </c>
      <c r="AI51" s="398" t="str">
        <f t="shared" si="126"/>
        <v xml:space="preserve"> </v>
      </c>
      <c r="AJ51" s="440">
        <f t="shared" si="127"/>
        <v>0</v>
      </c>
      <c r="AK51" s="280">
        <f t="shared" si="128"/>
        <v>0</v>
      </c>
      <c r="AL51" s="290">
        <f t="shared" si="129"/>
        <v>0</v>
      </c>
      <c r="AM51" s="280">
        <f t="shared" si="130"/>
        <v>0</v>
      </c>
      <c r="AO51" s="203">
        <v>0</v>
      </c>
      <c r="AP51" s="2"/>
      <c r="AQ51" s="16">
        <f t="shared" si="68"/>
        <v>1.00000000051</v>
      </c>
      <c r="AR51" s="41">
        <f>IF(AI51="","",SMALL(AQ$47:AQ$52,ROWS(AJ$47:AJ51)))</f>
        <v>1.00000000051</v>
      </c>
      <c r="AS51" s="194"/>
      <c r="AT51" s="208">
        <f>IF(AR51="","",IF(AND(AV50=AV51,AX50=AX51,AY50=AY51,AW51=AW50,AZ51=AZ50),AT50,$AT$7+4))</f>
        <v>1</v>
      </c>
      <c r="AU51" s="409" t="str">
        <f t="shared" si="131"/>
        <v xml:space="preserve"> </v>
      </c>
      <c r="AV51" s="410">
        <f t="shared" si="132"/>
        <v>0</v>
      </c>
      <c r="AW51" s="411">
        <f t="shared" si="133"/>
        <v>0</v>
      </c>
      <c r="AX51" s="410">
        <f t="shared" si="134"/>
        <v>0</v>
      </c>
      <c r="AY51" s="410">
        <f t="shared" si="135"/>
        <v>0</v>
      </c>
      <c r="AZ51" s="222">
        <f t="shared" si="136"/>
        <v>0</v>
      </c>
      <c r="BA51" s="212"/>
      <c r="BB51" s="335" t="str">
        <f>+I51</f>
        <v>PERRET Didier</v>
      </c>
      <c r="BC51" s="227">
        <f t="shared" si="137"/>
        <v>0</v>
      </c>
      <c r="BD51" s="228">
        <f t="array" ref="BD51">IF(OR(I51:I52="OFFICE"),0,IF(J51&gt;J52,1,0))</f>
        <v>0</v>
      </c>
      <c r="BE51" s="229">
        <f t="array" ref="BE51">IF(OR(R47:R48="OFFICE"),0,IF(S47&gt;S48,1,0))</f>
        <v>0</v>
      </c>
      <c r="BF51" s="230">
        <f t="array" ref="BF51">IF(OR(AA47:AA48="OFFICE"),0,IF(AB47&gt;AB48,1,0))</f>
        <v>0</v>
      </c>
    </row>
    <row r="52" spans="1:58" ht="24.95" customHeight="1" thickBot="1">
      <c r="B52" s="10"/>
      <c r="C52" s="10"/>
      <c r="F52" s="488"/>
      <c r="G52" s="490"/>
      <c r="H52" s="492"/>
      <c r="I52" s="309" t="s">
        <v>82</v>
      </c>
      <c r="J52" s="12"/>
      <c r="K52" s="197">
        <f>IF(J52&gt;J51,4,0)</f>
        <v>0</v>
      </c>
      <c r="L52" s="197">
        <f t="shared" si="79"/>
        <v>0</v>
      </c>
      <c r="M52" s="197">
        <f>+J51</f>
        <v>0</v>
      </c>
      <c r="N52" s="197">
        <f>J52-J51</f>
        <v>0</v>
      </c>
      <c r="O52" s="197"/>
      <c r="P52" s="42"/>
      <c r="Q52" s="492"/>
      <c r="R52" s="309" t="s">
        <v>82</v>
      </c>
      <c r="S52" s="12"/>
      <c r="T52" s="200">
        <v>0</v>
      </c>
      <c r="U52" s="197">
        <f t="shared" si="80"/>
        <v>0</v>
      </c>
      <c r="V52" s="197">
        <f>+S51</f>
        <v>0</v>
      </c>
      <c r="W52" s="197">
        <f t="shared" ref="W52" si="146">S52-S51</f>
        <v>0</v>
      </c>
      <c r="X52" s="197"/>
      <c r="Y52" s="42"/>
      <c r="Z52" s="492"/>
      <c r="AA52" s="309" t="s">
        <v>82</v>
      </c>
      <c r="AB52" s="12"/>
      <c r="AC52" s="200">
        <v>0</v>
      </c>
      <c r="AD52" s="197">
        <f t="shared" si="81"/>
        <v>0</v>
      </c>
      <c r="AE52" s="197">
        <f>+AB51</f>
        <v>0</v>
      </c>
      <c r="AF52" s="197">
        <f t="shared" ref="AF52" si="147">AB52-AB51</f>
        <v>0</v>
      </c>
      <c r="AG52" s="197"/>
      <c r="AI52" s="325"/>
      <c r="AJ52" s="288"/>
      <c r="AK52" s="288">
        <f>SUM(AK47:AK51)</f>
        <v>0</v>
      </c>
      <c r="AL52" s="288">
        <f>SUM(AL47:AL51)</f>
        <v>0</v>
      </c>
      <c r="AM52" s="288">
        <f>SUM(AM47:AM51)</f>
        <v>0</v>
      </c>
      <c r="AO52" s="205"/>
      <c r="AP52" s="42"/>
      <c r="AQ52" s="16"/>
      <c r="AR52" s="204"/>
      <c r="AS52" s="204"/>
      <c r="AT52" s="197"/>
      <c r="AU52" s="231"/>
      <c r="AV52" s="231"/>
      <c r="AW52" s="231"/>
      <c r="AX52" s="231"/>
      <c r="AY52" s="231"/>
      <c r="AZ52" s="212"/>
      <c r="BA52" s="212"/>
      <c r="BB52" s="330"/>
      <c r="BC52" s="232">
        <f>SUM(BC47:BC51)</f>
        <v>0</v>
      </c>
      <c r="BD52" s="232">
        <f>SUM(BD47:BD51)</f>
        <v>0</v>
      </c>
      <c r="BE52" s="232">
        <f>SUM(BE47:BE51)</f>
        <v>0</v>
      </c>
      <c r="BF52" s="232">
        <f>SUM(BF47:BF51)</f>
        <v>0</v>
      </c>
    </row>
    <row r="53" spans="1:58" ht="24.95" customHeight="1">
      <c r="B53" s="10"/>
      <c r="C53" s="10"/>
      <c r="F53" s="486">
        <v>8</v>
      </c>
      <c r="G53" s="14">
        <v>22</v>
      </c>
      <c r="H53" s="484">
        <v>7</v>
      </c>
      <c r="I53" s="390" t="str">
        <f>IF(ISNA(MATCH(G53,$D$7:$D$50,0)),"",INDEX($B$7:$B$50,MATCH(G53,$D$7:$D$50,0)))</f>
        <v>ARNAUD Gérard</v>
      </c>
      <c r="J53" s="7"/>
      <c r="K53" s="194">
        <f>IF(J53&gt;J54,4,0)</f>
        <v>0</v>
      </c>
      <c r="L53" s="194">
        <f t="shared" si="79"/>
        <v>0</v>
      </c>
      <c r="M53" s="194">
        <f>+J54</f>
        <v>0</v>
      </c>
      <c r="N53" s="194">
        <f>J53-J54</f>
        <v>0</v>
      </c>
      <c r="O53" s="194">
        <f>K53/4</f>
        <v>0</v>
      </c>
      <c r="P53" s="9"/>
      <c r="Q53" s="485">
        <v>5</v>
      </c>
      <c r="R53" s="315" t="str">
        <f>+I57</f>
        <v>CHAMBONNET Jean-Pierre</v>
      </c>
      <c r="S53" s="7"/>
      <c r="T53" s="194">
        <f>IF(S53&gt;S54,4,0)</f>
        <v>0</v>
      </c>
      <c r="U53" s="194">
        <f t="shared" si="80"/>
        <v>0</v>
      </c>
      <c r="V53" s="194">
        <f>+S54</f>
        <v>0</v>
      </c>
      <c r="W53" s="194">
        <f>S53-S54</f>
        <v>0</v>
      </c>
      <c r="X53" s="194">
        <f>T53/4</f>
        <v>0</v>
      </c>
      <c r="Y53" s="10"/>
      <c r="Z53" s="485">
        <v>1</v>
      </c>
      <c r="AA53" s="321" t="str">
        <f>+R53</f>
        <v>CHAMBONNET Jean-Pierre</v>
      </c>
      <c r="AB53" s="7"/>
      <c r="AC53" s="194">
        <f>IF(AB53&gt;AB54,4,0)</f>
        <v>0</v>
      </c>
      <c r="AD53" s="194">
        <f t="shared" si="81"/>
        <v>0</v>
      </c>
      <c r="AE53" s="194">
        <f>+AB54</f>
        <v>0</v>
      </c>
      <c r="AF53" s="194">
        <f>AB53-AB54</f>
        <v>0</v>
      </c>
      <c r="AG53" s="194">
        <f>AC53/4</f>
        <v>0</v>
      </c>
      <c r="AI53" s="396" t="str">
        <f>IF(J53&lt;&gt;"",I53," ")</f>
        <v xml:space="preserve"> </v>
      </c>
      <c r="AJ53" s="442">
        <f>SUM(IFERROR(VLOOKUP(AI53,$I$53:$K$58,3,0),0),IFERROR(VLOOKUP(AI53,$R$53:$T$58,3,0),0),IFERROR(VLOOKUP(AI53,$AA$53:$AC$58,3,0),0))</f>
        <v>0</v>
      </c>
      <c r="AK53" s="278">
        <f>SUM(IFERROR(VLOOKUP(AI53,$I$53:$N$58,6,0),0),IFERROR(VLOOKUP(AI53,$R$53:$W$58,6,0),0),IFERROR(VLOOKUP(AI53,$AA$53:$AF$58,6,0),0))</f>
        <v>0</v>
      </c>
      <c r="AL53" s="291">
        <f>SUM(IFERROR(VLOOKUP(AI53,$I$53:$M$58,4,0),0),IFERROR(VLOOKUP(AI53,$R$53:$V$58,4,0),0),IFERROR(VLOOKUP(AI53,$AA$53:$AE$58,4,0),0))</f>
        <v>0</v>
      </c>
      <c r="AM53" s="278">
        <f>SUM(IFERROR(VLOOKUP(AI53,$I$53:$M$58,5,0),0),IFERROR(VLOOKUP(AI53,$R$53:$V$58,5,0),0),IFERROR(VLOOKUP(AI53,$AA$53:$AE$58,5,0),0))</f>
        <v>0</v>
      </c>
      <c r="AO53" s="207">
        <v>0</v>
      </c>
      <c r="AP53" s="2"/>
      <c r="AQ53" s="16">
        <f t="shared" si="68"/>
        <v>1.00000000053</v>
      </c>
      <c r="AR53" s="41">
        <f>IF(AI53="","",SMALL(AQ$53:AQ$58,ROWS(AJ$53:AJ53)))</f>
        <v>1.00000000053</v>
      </c>
      <c r="AS53" s="194"/>
      <c r="AT53" s="399">
        <f>IF(AR53="","",1)</f>
        <v>1</v>
      </c>
      <c r="AU53" s="401" t="str">
        <f>IF(OR(AI53="",AJ53=""),"",INDEX($AI$53:$AI$58,MATCH(AR53,$AQ$53:$AQ$58,0)))</f>
        <v xml:space="preserve"> </v>
      </c>
      <c r="AV53" s="210">
        <f>IF(OR(AI53="",AJ53=""),"",INDEX($AJ$53:$AJ$58,MATCH(AR53,$AQ$53:$AQ$58,0)))</f>
        <v>0</v>
      </c>
      <c r="AW53" s="210">
        <f>IF(OR(AI53="",AK53=""),"",INDEX($AK$53:$AK$58,MATCH(AR53,$AQ$53:$AQ$58,0)))</f>
        <v>0</v>
      </c>
      <c r="AX53" s="210">
        <f>IF(OR(AI53="",AL53=""),"",INDEX($AL$53:$AL$58,MATCH(AR53,$AQ$53:$AQ$58,0)))</f>
        <v>0</v>
      </c>
      <c r="AY53" s="210">
        <f>IF(OR(AI53="",AM53=""),"",INDEX($AM$53:$AM$58,MATCH(AR53,$AQ$53:$AQ$58,0)))</f>
        <v>0</v>
      </c>
      <c r="AZ53" s="210">
        <f>IF(OR(AI53="",AO53=""),"",INDEX($AO$53:$AO$58,MATCH(AR53,$AQ$53:$AQ$58,0)))</f>
        <v>0</v>
      </c>
      <c r="BA53" s="212"/>
      <c r="BB53" s="326" t="str">
        <f>I53</f>
        <v>ARNAUD Gérard</v>
      </c>
      <c r="BC53" s="213">
        <f>SUM(BD53:BF53)</f>
        <v>0</v>
      </c>
      <c r="BD53" s="214">
        <f t="array" ref="BD53">IF(OR(I53:I54="OFFICE"),0,IF(J53&gt;J54,1,0))</f>
        <v>0</v>
      </c>
      <c r="BE53" s="215">
        <f t="array" ref="BE53">IF(OR(R55:R56="OFFICE"),0,IF(S55&gt;S56,1,0))</f>
        <v>0</v>
      </c>
      <c r="BF53" s="216">
        <f t="array" ref="BF53">IF(OR(AA57:AA58="OFFICE"),0,IF(AB57&gt;AB58,1,0))</f>
        <v>0</v>
      </c>
    </row>
    <row r="54" spans="1:58" ht="24.95" customHeight="1" thickBot="1">
      <c r="B54" s="10"/>
      <c r="C54" s="10"/>
      <c r="F54" s="487"/>
      <c r="G54" s="15">
        <v>39</v>
      </c>
      <c r="H54" s="494"/>
      <c r="I54" s="306" t="str">
        <f>IF(ISNA(MATCH(G54,$D$7:$D$50,0)),"",INDEX($B$7:$B$50,MATCH(G54,$D$7:$D$50,0)))</f>
        <v>SASSOLAS Denis</v>
      </c>
      <c r="J54" s="12"/>
      <c r="K54" s="194">
        <f>IF(J54&gt;J53,4,0)</f>
        <v>0</v>
      </c>
      <c r="L54" s="194">
        <f t="shared" si="79"/>
        <v>0</v>
      </c>
      <c r="M54" s="194">
        <f>+J53</f>
        <v>0</v>
      </c>
      <c r="N54" s="194">
        <f>J54-J53</f>
        <v>0</v>
      </c>
      <c r="O54" s="194">
        <f>K54/4</f>
        <v>0</v>
      </c>
      <c r="P54" s="9"/>
      <c r="Q54" s="494"/>
      <c r="R54" s="311" t="str">
        <f>+I54</f>
        <v>SASSOLAS Denis</v>
      </c>
      <c r="S54" s="12"/>
      <c r="T54" s="194">
        <f>IF(S54&gt;S53,4,0)</f>
        <v>0</v>
      </c>
      <c r="U54" s="194">
        <f t="shared" si="80"/>
        <v>0</v>
      </c>
      <c r="V54" s="194">
        <f>+S53</f>
        <v>0</v>
      </c>
      <c r="W54" s="194">
        <f>S54-S53</f>
        <v>0</v>
      </c>
      <c r="X54" s="194">
        <f>T54/4</f>
        <v>0</v>
      </c>
      <c r="Y54" s="10"/>
      <c r="Z54" s="494"/>
      <c r="AA54" s="317" t="str">
        <f>+R57</f>
        <v>ISIDORE Serge</v>
      </c>
      <c r="AB54" s="12"/>
      <c r="AC54" s="194">
        <f>IF(AB54&gt;AB53,4,0)</f>
        <v>0</v>
      </c>
      <c r="AD54" s="194">
        <f t="shared" si="81"/>
        <v>0</v>
      </c>
      <c r="AE54" s="194">
        <f>+AB53</f>
        <v>0</v>
      </c>
      <c r="AF54" s="194">
        <f>AB54-AB53</f>
        <v>0</v>
      </c>
      <c r="AG54" s="194">
        <f>AC54/4</f>
        <v>0</v>
      </c>
      <c r="AI54" s="397" t="str">
        <f t="shared" ref="AI54:AI57" si="148">IF(J54&lt;&gt;"",I54," ")</f>
        <v xml:space="preserve"> </v>
      </c>
      <c r="AJ54" s="439">
        <f t="shared" ref="AJ54:AJ57" si="149">SUM(IFERROR(VLOOKUP(AI54,$I$53:$K$58,3,0),0),IFERROR(VLOOKUP(AI54,$R$53:$T$58,3,0),0),IFERROR(VLOOKUP(AI54,$AA$53:$AC$58,3,0),0))</f>
        <v>0</v>
      </c>
      <c r="AK54" s="279">
        <f t="shared" ref="AK54:AK57" si="150">SUM(IFERROR(VLOOKUP(AI54,$I$53:$N$58,6,0),0),IFERROR(VLOOKUP(AI54,$R$53:$W$58,6,0),0),IFERROR(VLOOKUP(AI54,$AA$53:$AF$58,6,0),0))</f>
        <v>0</v>
      </c>
      <c r="AL54" s="292">
        <f t="shared" ref="AL54:AL57" si="151">SUM(IFERROR(VLOOKUP(AI54,$I$53:$M$58,4,0),0),IFERROR(VLOOKUP(AI54,$R$53:$V$58,4,0),0),IFERROR(VLOOKUP(AI54,$AA$53:$AE$58,4,0),0))</f>
        <v>0</v>
      </c>
      <c r="AM54" s="279">
        <f t="shared" ref="AM54:AM57" si="152">SUM(IFERROR(VLOOKUP(AI54,$I$53:$M$58,5,0),0),IFERROR(VLOOKUP(AI54,$R$53:$V$58,5,0),0),IFERROR(VLOOKUP(AI54,$AA$53:$AE$58,5,0),0))</f>
        <v>0</v>
      </c>
      <c r="AO54" s="202">
        <v>0</v>
      </c>
      <c r="AP54" s="2"/>
      <c r="AQ54" s="16">
        <f t="shared" si="68"/>
        <v>1.00000000054</v>
      </c>
      <c r="AR54" s="41">
        <f>IF(AI54="","",SMALL(AQ$53:AQ$58,ROWS(AJ$53:AJ54)))</f>
        <v>1.00000000054</v>
      </c>
      <c r="AS54" s="194"/>
      <c r="AT54" s="198">
        <f>IF(AR54="","",IF(AND(AV53=AV54,AX53=AX54,AY53=AY54,AW54=AW53,AZ54=AZ53),AT53,$AT$7+1))</f>
        <v>1</v>
      </c>
      <c r="AU54" s="304" t="str">
        <f t="shared" ref="AU54:AU57" si="153">IF(OR(AI54="",AJ54=""),"",INDEX($AI$53:$AI$58,MATCH(AR54,$AQ$53:$AQ$58,0)))</f>
        <v xml:space="preserve"> </v>
      </c>
      <c r="AV54" s="217">
        <f t="shared" ref="AV54:AV57" si="154">IF(OR(AI54="",AJ54=""),"",INDEX($AJ$53:$AJ$58,MATCH(AR54,$AQ$53:$AQ$58,0)))</f>
        <v>0</v>
      </c>
      <c r="AW54" s="217">
        <f t="shared" ref="AW54:AW57" si="155">IF(OR(AI54="",AK54=""),"",INDEX($AK$53:$AK$58,MATCH(AR54,$AQ$53:$AQ$58,0)))</f>
        <v>0</v>
      </c>
      <c r="AX54" s="217">
        <f t="shared" ref="AX54:AX57" si="156">IF(OR(AI54="",AL54=""),"",INDEX($AL$53:$AL$58,MATCH(AR54,$AQ$53:$AQ$58,0)))</f>
        <v>0</v>
      </c>
      <c r="AY54" s="217">
        <f t="shared" ref="AY54:AY57" si="157">IF(OR(AI54="",AM54=""),"",INDEX($AM$53:$AM$58,MATCH(AR54,$AQ$53:$AQ$58,0)))</f>
        <v>0</v>
      </c>
      <c r="AZ54" s="217">
        <f t="shared" ref="AZ54:AZ57" si="158">IF(OR(AI54="",AO54=""),"",INDEX($AO$53:$AO$58,MATCH(AR54,$AQ$53:$AQ$58,0)))</f>
        <v>0</v>
      </c>
      <c r="BA54" s="212"/>
      <c r="BB54" s="327" t="str">
        <f>+I54</f>
        <v>SASSOLAS Denis</v>
      </c>
      <c r="BC54" s="218">
        <f t="shared" ref="BC54:BC57" si="159">SUM(BD54:BF54)</f>
        <v>0</v>
      </c>
      <c r="BD54" s="219">
        <f t="array" ref="BD54">IF(OR(I53:I54="OFFICE"),0,IF(J54&gt;J53,1,0))</f>
        <v>0</v>
      </c>
      <c r="BE54" s="188">
        <f t="array" ref="BE54">IF(OR(R53:R54="OFFICE"),0,IF(S53&lt;S54,1,0))</f>
        <v>0</v>
      </c>
      <c r="BF54" s="220" cm="1">
        <f t="array" ref="BF54">IF(OR(AA55:AA56="OFFICE"),0,IF(AB55&gt;AB56,1,0))</f>
        <v>0</v>
      </c>
    </row>
    <row r="55" spans="1:58" ht="24.95" customHeight="1">
      <c r="F55" s="487"/>
      <c r="G55" s="15">
        <v>23</v>
      </c>
      <c r="H55" s="484">
        <v>8</v>
      </c>
      <c r="I55" s="390" t="str">
        <f>IF(ISNA(MATCH(G55,$D$7:$D$50,0)),"",INDEX($B$7:$B$50,MATCH(G55,$D$7:$D$50,0)))</f>
        <v>ISIDORE Serge</v>
      </c>
      <c r="J55" s="7"/>
      <c r="K55" s="194">
        <f>IF(J55&gt;J56,4,0)</f>
        <v>0</v>
      </c>
      <c r="L55" s="194">
        <f t="shared" si="79"/>
        <v>0</v>
      </c>
      <c r="M55" s="194">
        <f>+J56</f>
        <v>0</v>
      </c>
      <c r="N55" s="194">
        <f t="shared" ref="N55" si="160">J55-J56</f>
        <v>0</v>
      </c>
      <c r="O55" s="194">
        <f>K55/4</f>
        <v>0</v>
      </c>
      <c r="P55" s="9"/>
      <c r="Q55" s="484">
        <v>6</v>
      </c>
      <c r="R55" s="312" t="str">
        <f>+I53</f>
        <v>ARNAUD Gérard</v>
      </c>
      <c r="S55" s="7"/>
      <c r="T55" s="194">
        <f>IF(S55&gt;S56,4,0)</f>
        <v>0</v>
      </c>
      <c r="U55" s="194">
        <f t="shared" si="80"/>
        <v>0</v>
      </c>
      <c r="V55" s="194">
        <f>+S56</f>
        <v>0</v>
      </c>
      <c r="W55" s="194">
        <f t="shared" ref="W55" si="161">S55-S56</f>
        <v>0</v>
      </c>
      <c r="X55" s="194">
        <f>T55/4</f>
        <v>0</v>
      </c>
      <c r="Y55" s="10"/>
      <c r="Z55" s="484">
        <v>2</v>
      </c>
      <c r="AA55" s="316" t="str">
        <f>+R54</f>
        <v>SASSOLAS Denis</v>
      </c>
      <c r="AB55" s="7"/>
      <c r="AC55" s="194">
        <f>IF(AB55&gt;AB56,4,0)</f>
        <v>0</v>
      </c>
      <c r="AD55" s="194">
        <f t="shared" si="81"/>
        <v>0</v>
      </c>
      <c r="AE55" s="194">
        <f>+AB56</f>
        <v>0</v>
      </c>
      <c r="AF55" s="194">
        <f>AB55-AB56</f>
        <v>0</v>
      </c>
      <c r="AG55" s="194">
        <f>AC55/4</f>
        <v>0</v>
      </c>
      <c r="AI55" s="397" t="str">
        <f t="shared" si="148"/>
        <v xml:space="preserve"> </v>
      </c>
      <c r="AJ55" s="439">
        <f t="shared" si="149"/>
        <v>0</v>
      </c>
      <c r="AK55" s="279">
        <f t="shared" si="150"/>
        <v>0</v>
      </c>
      <c r="AL55" s="292">
        <f t="shared" si="151"/>
        <v>0</v>
      </c>
      <c r="AM55" s="279">
        <f t="shared" si="152"/>
        <v>0</v>
      </c>
      <c r="AO55" s="202">
        <v>0</v>
      </c>
      <c r="AP55" s="2"/>
      <c r="AQ55" s="16">
        <f t="shared" si="68"/>
        <v>1.00000000055</v>
      </c>
      <c r="AR55" s="41">
        <f>IF(AI55="","",SMALL(AQ$53:AQ$58,ROWS(AJ$53:AJ55)))</f>
        <v>1.00000000055</v>
      </c>
      <c r="AS55" s="194"/>
      <c r="AT55" s="198">
        <f>IF(AR55="","",IF(AND(AV54=AV55,AX54=AX55,AY54=AY55,AW55=AW54,AZ55=AZ54),AT54,$AT$7+2))</f>
        <v>1</v>
      </c>
      <c r="AU55" s="304" t="str">
        <f t="shared" si="153"/>
        <v xml:space="preserve"> </v>
      </c>
      <c r="AV55" s="217">
        <f t="shared" si="154"/>
        <v>0</v>
      </c>
      <c r="AW55" s="217">
        <f t="shared" si="155"/>
        <v>0</v>
      </c>
      <c r="AX55" s="217">
        <f t="shared" si="156"/>
        <v>0</v>
      </c>
      <c r="AY55" s="217">
        <f t="shared" si="157"/>
        <v>0</v>
      </c>
      <c r="AZ55" s="217">
        <f t="shared" si="158"/>
        <v>0</v>
      </c>
      <c r="BA55" s="212"/>
      <c r="BB55" s="327" t="str">
        <f>+I55</f>
        <v>ISIDORE Serge</v>
      </c>
      <c r="BC55" s="218">
        <f t="shared" si="159"/>
        <v>0</v>
      </c>
      <c r="BD55" s="219">
        <f t="array" ref="BD55">IF(OR(I55:I56="OFFICE"),0,IF(J55&gt;J56,1,0))</f>
        <v>0</v>
      </c>
      <c r="BE55" s="188">
        <f t="array" ref="BE55">IF(OR(R57:R58="OFFICE"),0,IF(S57&gt;S58,1,0))</f>
        <v>0</v>
      </c>
      <c r="BF55" s="220" cm="1">
        <f t="array" ref="BF55">IF(OR(AA53:AA54="OFFICE"),0,IF(AB54&gt;AB53,1,0))</f>
        <v>0</v>
      </c>
    </row>
    <row r="56" spans="1:58" ht="24.95" customHeight="1" thickBot="1">
      <c r="F56" s="487"/>
      <c r="G56" s="15">
        <v>40</v>
      </c>
      <c r="H56" s="494"/>
      <c r="I56" s="306" t="str">
        <f>IF(ISNA(MATCH(G56,$D$7:$D$50,0)),"",INDEX($B$7:$B$50,MATCH(G56,$D$7:$D$50,0)))</f>
        <v>SOUBEYRAND Thierry</v>
      </c>
      <c r="J56" s="11"/>
      <c r="K56" s="194">
        <f>IF(J56&gt;J55,4,0)</f>
        <v>0</v>
      </c>
      <c r="L56" s="194">
        <f t="shared" si="79"/>
        <v>0</v>
      </c>
      <c r="M56" s="194">
        <f>+J55</f>
        <v>0</v>
      </c>
      <c r="N56" s="194">
        <f>J56-J55</f>
        <v>0</v>
      </c>
      <c r="O56" s="194">
        <f>K56/4</f>
        <v>0</v>
      </c>
      <c r="P56" s="9"/>
      <c r="Q56" s="485"/>
      <c r="R56" s="313" t="str">
        <f>+I56</f>
        <v>SOUBEYRAND Thierry</v>
      </c>
      <c r="S56" s="11"/>
      <c r="T56" s="194">
        <f>IF(S56&gt;S55,4,0)</f>
        <v>0</v>
      </c>
      <c r="U56" s="194">
        <f t="shared" si="80"/>
        <v>0</v>
      </c>
      <c r="V56" s="194">
        <f>+S55</f>
        <v>0</v>
      </c>
      <c r="W56" s="194">
        <f t="shared" ref="W56" si="162">S56-S55</f>
        <v>0</v>
      </c>
      <c r="X56" s="194">
        <f>T56/4</f>
        <v>0</v>
      </c>
      <c r="Y56" s="10"/>
      <c r="Z56" s="485"/>
      <c r="AA56" s="318" t="str">
        <f>+R56</f>
        <v>SOUBEYRAND Thierry</v>
      </c>
      <c r="AB56" s="12"/>
      <c r="AC56" s="194">
        <f>IF(AB56&gt;AB55,4,0)</f>
        <v>0</v>
      </c>
      <c r="AD56" s="194">
        <f t="shared" si="81"/>
        <v>0</v>
      </c>
      <c r="AE56" s="194">
        <f>+AB55</f>
        <v>0</v>
      </c>
      <c r="AF56" s="194">
        <f>AB56-AB55</f>
        <v>0</v>
      </c>
      <c r="AG56" s="194">
        <f>AC56/4</f>
        <v>0</v>
      </c>
      <c r="AI56" s="397" t="str">
        <f t="shared" si="148"/>
        <v xml:space="preserve"> </v>
      </c>
      <c r="AJ56" s="439">
        <f t="shared" si="149"/>
        <v>0</v>
      </c>
      <c r="AK56" s="279">
        <f t="shared" si="150"/>
        <v>0</v>
      </c>
      <c r="AL56" s="292">
        <f t="shared" si="151"/>
        <v>0</v>
      </c>
      <c r="AM56" s="279">
        <f t="shared" si="152"/>
        <v>0</v>
      </c>
      <c r="AO56" s="202">
        <v>0</v>
      </c>
      <c r="AP56" s="2"/>
      <c r="AQ56" s="16">
        <f t="shared" si="68"/>
        <v>1.00000000056</v>
      </c>
      <c r="AR56" s="41">
        <f>IF(AI56="","",SMALL(AQ$53:AQ$58,ROWS(AJ$53:AJ56)))</f>
        <v>1.00000000056</v>
      </c>
      <c r="AS56" s="194"/>
      <c r="AT56" s="198">
        <f>IF(AR56="","",IF(AND(AV55=AV56,AX55=AX56,AY55=AY56,AW56=AW55,AZ56=AZ55),AT55,$AT$7+3))</f>
        <v>1</v>
      </c>
      <c r="AU56" s="305" t="str">
        <f t="shared" si="153"/>
        <v xml:space="preserve"> </v>
      </c>
      <c r="AV56" s="222">
        <f t="shared" si="154"/>
        <v>0</v>
      </c>
      <c r="AW56" s="222">
        <f t="shared" si="155"/>
        <v>0</v>
      </c>
      <c r="AX56" s="222">
        <f t="shared" si="156"/>
        <v>0</v>
      </c>
      <c r="AY56" s="222">
        <f t="shared" si="157"/>
        <v>0</v>
      </c>
      <c r="AZ56" s="222">
        <f t="shared" si="158"/>
        <v>0</v>
      </c>
      <c r="BA56" s="212"/>
      <c r="BB56" s="328" t="str">
        <f>+I56</f>
        <v>SOUBEYRAND Thierry</v>
      </c>
      <c r="BC56" s="223">
        <f t="shared" si="159"/>
        <v>0</v>
      </c>
      <c r="BD56" s="219">
        <f t="array" ref="BD56">IF(OR(I55:I56="OFFICE"),0,IF(J55&lt;J56,1,0))</f>
        <v>0</v>
      </c>
      <c r="BE56" s="224" cm="1">
        <f t="array" ref="BE56">IF(OR(R55:R56="OFFICE"),0,IF(S55&lt;S56,1,0))</f>
        <v>0</v>
      </c>
      <c r="BF56" s="225">
        <f t="array" ref="BF56">IF(OR(AA55:AA56="OFFICE"),0,IF(AB55&lt;AB56,1,0))</f>
        <v>0</v>
      </c>
    </row>
    <row r="57" spans="1:58" ht="24.95" customHeight="1" thickBot="1">
      <c r="F57" s="487"/>
      <c r="G57" s="489">
        <v>24</v>
      </c>
      <c r="H57" s="491"/>
      <c r="I57" s="307" t="str">
        <f>IF(ISNA(MATCH(G57,$D$7:$D$50,0)),"",INDEX($B$7:$B$50,MATCH(G57,$D$7:$D$50,0)))</f>
        <v>CHAMBONNET Jean-Pierre</v>
      </c>
      <c r="J57" s="7"/>
      <c r="K57" s="198">
        <f>IF(J57&gt;J58,4,0)</f>
        <v>0</v>
      </c>
      <c r="L57" s="194">
        <f t="shared" si="79"/>
        <v>0</v>
      </c>
      <c r="M57" s="194">
        <f>+J58</f>
        <v>0</v>
      </c>
      <c r="N57" s="194">
        <f t="shared" ref="N57" si="163">J57-J58</f>
        <v>0</v>
      </c>
      <c r="O57" s="195">
        <v>0</v>
      </c>
      <c r="P57" s="9"/>
      <c r="Q57" s="493"/>
      <c r="R57" s="314" t="str">
        <f>+I55</f>
        <v>ISIDORE Serge</v>
      </c>
      <c r="S57" s="7"/>
      <c r="T57" s="194">
        <f>IF(S57&gt;S58,4,0)</f>
        <v>0</v>
      </c>
      <c r="U57" s="194">
        <f t="shared" si="80"/>
        <v>0</v>
      </c>
      <c r="V57" s="194">
        <f>+S58</f>
        <v>0</v>
      </c>
      <c r="W57" s="194">
        <f t="shared" ref="W57" si="164">S57-S58</f>
        <v>0</v>
      </c>
      <c r="X57" s="195">
        <v>0</v>
      </c>
      <c r="Y57" s="40"/>
      <c r="Z57" s="493"/>
      <c r="AA57" s="319" t="str">
        <f>+R55</f>
        <v>ARNAUD Gérard</v>
      </c>
      <c r="AB57" s="7"/>
      <c r="AC57" s="194">
        <f>IF(AB57&gt;AB58,4,0)</f>
        <v>0</v>
      </c>
      <c r="AD57" s="194">
        <f t="shared" si="81"/>
        <v>0</v>
      </c>
      <c r="AE57" s="194">
        <f>+AB58</f>
        <v>0</v>
      </c>
      <c r="AF57" s="194">
        <f t="shared" ref="AF57" si="165">AB57-AB58</f>
        <v>0</v>
      </c>
      <c r="AG57" s="195">
        <v>0</v>
      </c>
      <c r="AI57" s="398" t="str">
        <f t="shared" si="148"/>
        <v xml:space="preserve"> </v>
      </c>
      <c r="AJ57" s="440">
        <f t="shared" si="149"/>
        <v>0</v>
      </c>
      <c r="AK57" s="280">
        <f t="shared" si="150"/>
        <v>0</v>
      </c>
      <c r="AL57" s="290">
        <f t="shared" si="151"/>
        <v>0</v>
      </c>
      <c r="AM57" s="280">
        <f t="shared" si="152"/>
        <v>0</v>
      </c>
      <c r="AO57" s="203">
        <v>0</v>
      </c>
      <c r="AP57" s="2"/>
      <c r="AQ57" s="16">
        <f t="shared" si="68"/>
        <v>1.00000000057</v>
      </c>
      <c r="AR57" s="41">
        <f>IF(AI57="","",SMALL(AQ$53:AQ$58,ROWS(AJ$53:AJ57)))</f>
        <v>1.00000000057</v>
      </c>
      <c r="AS57" s="194"/>
      <c r="AT57" s="196">
        <f>IF(AR57="","",IF(AND(AV56=AV57,AX56=AX57,AY56=AY57,AW57=AW56,AZ57=AZ56),AT56,$AT$7+4))</f>
        <v>1</v>
      </c>
      <c r="AU57" s="305" t="str">
        <f t="shared" si="153"/>
        <v xml:space="preserve"> </v>
      </c>
      <c r="AV57" s="222">
        <f t="shared" si="154"/>
        <v>0</v>
      </c>
      <c r="AW57" s="222">
        <f t="shared" si="155"/>
        <v>0</v>
      </c>
      <c r="AX57" s="222">
        <f t="shared" si="156"/>
        <v>0</v>
      </c>
      <c r="AY57" s="222">
        <f t="shared" si="157"/>
        <v>0</v>
      </c>
      <c r="AZ57" s="222">
        <f t="shared" si="158"/>
        <v>0</v>
      </c>
      <c r="BA57" s="212"/>
      <c r="BB57" s="329" t="str">
        <f>+I57</f>
        <v>CHAMBONNET Jean-Pierre</v>
      </c>
      <c r="BC57" s="227">
        <f t="shared" si="159"/>
        <v>0</v>
      </c>
      <c r="BD57" s="228">
        <f t="array" ref="BD57">IF(OR(I57:I58="OFFICE"),0,IF(J57&gt;J58,1,0))</f>
        <v>0</v>
      </c>
      <c r="BE57" s="229">
        <f t="array" ref="BE57">IF(OR(R53:R54="OFFICE"),0,IF(S53&gt;S54,1,0))</f>
        <v>0</v>
      </c>
      <c r="BF57" s="230" cm="1">
        <f t="array" ref="BF57">IF(OR(AA53:AA54="OFFICE"),0,IF(AB53&gt;AB54,1,0))</f>
        <v>0</v>
      </c>
    </row>
    <row r="58" spans="1:58" ht="24.95" customHeight="1" thickBot="1">
      <c r="F58" s="488"/>
      <c r="G58" s="490"/>
      <c r="H58" s="492"/>
      <c r="I58" s="309" t="s">
        <v>82</v>
      </c>
      <c r="J58" s="12"/>
      <c r="K58" s="196">
        <f>IF(J58&gt;J57,4,0)</f>
        <v>0</v>
      </c>
      <c r="L58" s="197">
        <f t="shared" si="79"/>
        <v>0</v>
      </c>
      <c r="M58" s="197">
        <f>+J57</f>
        <v>0</v>
      </c>
      <c r="N58" s="197">
        <f>J58-J57</f>
        <v>0</v>
      </c>
      <c r="O58" s="197"/>
      <c r="P58" s="42"/>
      <c r="Q58" s="492"/>
      <c r="R58" s="309" t="s">
        <v>82</v>
      </c>
      <c r="S58" s="12"/>
      <c r="T58" s="200">
        <v>0</v>
      </c>
      <c r="U58" s="197">
        <f t="shared" si="80"/>
        <v>0</v>
      </c>
      <c r="V58" s="197">
        <f>+S57</f>
        <v>0</v>
      </c>
      <c r="W58" s="197">
        <f t="shared" ref="W58" si="166">S58-S57</f>
        <v>0</v>
      </c>
      <c r="X58" s="197"/>
      <c r="Y58" s="42"/>
      <c r="Z58" s="492"/>
      <c r="AA58" s="165" t="s">
        <v>82</v>
      </c>
      <c r="AB58" s="12"/>
      <c r="AC58" s="200">
        <v>0</v>
      </c>
      <c r="AD58" s="197">
        <f t="shared" si="81"/>
        <v>0</v>
      </c>
      <c r="AE58" s="197">
        <f>+AB57</f>
        <v>0</v>
      </c>
      <c r="AF58" s="197">
        <f t="shared" ref="AF58" si="167">AB58-AB57</f>
        <v>0</v>
      </c>
      <c r="AG58" s="197"/>
      <c r="AI58" s="42"/>
      <c r="AJ58" s="193"/>
      <c r="AK58" s="193"/>
      <c r="AL58" s="193"/>
      <c r="AM58" s="193"/>
      <c r="AO58" s="168"/>
      <c r="AP58" s="42"/>
      <c r="AQ58" s="204"/>
      <c r="AR58" s="204"/>
      <c r="AS58" s="204"/>
      <c r="AT58" s="197"/>
      <c r="AU58" s="204"/>
      <c r="AV58" s="204"/>
      <c r="AW58" s="204"/>
      <c r="AX58" s="204"/>
      <c r="AY58" s="204"/>
      <c r="AZ58" s="476"/>
      <c r="BA58" s="212"/>
      <c r="BB58" s="212"/>
      <c r="BC58" s="238">
        <f>SUM(BC53:BC57)</f>
        <v>0</v>
      </c>
      <c r="BD58" s="238">
        <f>SUM(BD53:BD57)</f>
        <v>0</v>
      </c>
      <c r="BE58" s="238">
        <f>SUM(BE53:BE57)</f>
        <v>0</v>
      </c>
      <c r="BF58" s="238">
        <f>SUM(BF53:BF57)</f>
        <v>0</v>
      </c>
    </row>
    <row r="59" spans="1:58" ht="24.95" customHeight="1">
      <c r="G59" s="1">
        <v>24</v>
      </c>
    </row>
  </sheetData>
  <sheetProtection sheet="1" objects="1" scenarios="1" formatCells="0" formatColumns="0" formatRows="0" insertColumns="0" insertRows="0" insertHyperlinks="0" deleteColumns="0" deleteRows="0" sort="0"/>
  <sortState ref="B7:C30">
    <sortCondition ref="B7"/>
  </sortState>
  <mergeCells count="105">
    <mergeCell ref="F53:F58"/>
    <mergeCell ref="H53:H54"/>
    <mergeCell ref="Q53:Q54"/>
    <mergeCell ref="Z53:Z54"/>
    <mergeCell ref="H55:H56"/>
    <mergeCell ref="Q55:Q56"/>
    <mergeCell ref="Z55:Z56"/>
    <mergeCell ref="G57:G58"/>
    <mergeCell ref="H57:H58"/>
    <mergeCell ref="Q57:Q58"/>
    <mergeCell ref="Z57:Z58"/>
    <mergeCell ref="F47:F52"/>
    <mergeCell ref="H47:H48"/>
    <mergeCell ref="Q47:Q48"/>
    <mergeCell ref="Z47:Z48"/>
    <mergeCell ref="H49:H50"/>
    <mergeCell ref="Q49:Q50"/>
    <mergeCell ref="Z49:Z50"/>
    <mergeCell ref="G51:G52"/>
    <mergeCell ref="H51:H52"/>
    <mergeCell ref="Q51:Q52"/>
    <mergeCell ref="Z51:Z52"/>
    <mergeCell ref="F41:F46"/>
    <mergeCell ref="H41:H42"/>
    <mergeCell ref="Q41:Q42"/>
    <mergeCell ref="Z41:Z42"/>
    <mergeCell ref="H43:H44"/>
    <mergeCell ref="Q43:Q44"/>
    <mergeCell ref="Z43:Z44"/>
    <mergeCell ref="G45:G46"/>
    <mergeCell ref="H45:H46"/>
    <mergeCell ref="Q45:Q46"/>
    <mergeCell ref="Z45:Z46"/>
    <mergeCell ref="BB33:BF33"/>
    <mergeCell ref="F35:F40"/>
    <mergeCell ref="H35:H36"/>
    <mergeCell ref="Q35:Q36"/>
    <mergeCell ref="Z35:Z36"/>
    <mergeCell ref="H37:H38"/>
    <mergeCell ref="Q37:Q38"/>
    <mergeCell ref="Z37:Z38"/>
    <mergeCell ref="G39:G40"/>
    <mergeCell ref="H39:H40"/>
    <mergeCell ref="Q39:Q40"/>
    <mergeCell ref="Z39:Z40"/>
    <mergeCell ref="H33:J33"/>
    <mergeCell ref="Q33:S33"/>
    <mergeCell ref="Z33:AB33"/>
    <mergeCell ref="AO33:AO34"/>
    <mergeCell ref="AT33:AZ33"/>
    <mergeCell ref="H1:J1"/>
    <mergeCell ref="H2:J2"/>
    <mergeCell ref="A1:G1"/>
    <mergeCell ref="A2:G2"/>
    <mergeCell ref="B4:C4"/>
    <mergeCell ref="AO5:AO6"/>
    <mergeCell ref="F25:F30"/>
    <mergeCell ref="H25:H26"/>
    <mergeCell ref="Q25:Q26"/>
    <mergeCell ref="Z25:Z26"/>
    <mergeCell ref="H27:H28"/>
    <mergeCell ref="Q27:Q28"/>
    <mergeCell ref="Z27:Z28"/>
    <mergeCell ref="G29:G30"/>
    <mergeCell ref="H29:H30"/>
    <mergeCell ref="Q29:Q30"/>
    <mergeCell ref="Z29:Z30"/>
    <mergeCell ref="F19:F24"/>
    <mergeCell ref="H19:H20"/>
    <mergeCell ref="Q19:Q20"/>
    <mergeCell ref="Z19:Z20"/>
    <mergeCell ref="H21:H22"/>
    <mergeCell ref="Q21:Q22"/>
    <mergeCell ref="Z21:Z22"/>
    <mergeCell ref="G23:G24"/>
    <mergeCell ref="H23:H24"/>
    <mergeCell ref="Q23:Q24"/>
    <mergeCell ref="Z23:Z24"/>
    <mergeCell ref="F13:F18"/>
    <mergeCell ref="H13:H14"/>
    <mergeCell ref="Q13:Q14"/>
    <mergeCell ref="Z13:Z14"/>
    <mergeCell ref="H15:H16"/>
    <mergeCell ref="Q15:Q16"/>
    <mergeCell ref="Z15:Z16"/>
    <mergeCell ref="G17:G18"/>
    <mergeCell ref="H17:H18"/>
    <mergeCell ref="Q17:Q18"/>
    <mergeCell ref="Z17:Z18"/>
    <mergeCell ref="BB5:BF5"/>
    <mergeCell ref="H5:J5"/>
    <mergeCell ref="Q9:Q10"/>
    <mergeCell ref="Z9:Z10"/>
    <mergeCell ref="F7:F12"/>
    <mergeCell ref="Q5:S5"/>
    <mergeCell ref="G11:G12"/>
    <mergeCell ref="H11:H12"/>
    <mergeCell ref="Q11:Q12"/>
    <mergeCell ref="Z11:Z12"/>
    <mergeCell ref="Q7:Q8"/>
    <mergeCell ref="Z7:Z8"/>
    <mergeCell ref="Z5:AB5"/>
    <mergeCell ref="H7:H8"/>
    <mergeCell ref="H9:H10"/>
    <mergeCell ref="AT5:AZ5"/>
  </mergeCells>
  <phoneticPr fontId="0" type="noConversion"/>
  <conditionalFormatting sqref="J7:J8">
    <cfRule type="iconSet" priority="200">
      <iconSet>
        <cfvo type="percent" val="0"/>
        <cfvo type="percent" val="12"/>
        <cfvo type="percent" val="13"/>
      </iconSet>
    </cfRule>
    <cfRule type="iconSet" priority="214">
      <iconSet>
        <cfvo type="percent" val="0"/>
        <cfvo type="percent" val="12"/>
        <cfvo type="percent" val="13"/>
      </iconSet>
    </cfRule>
  </conditionalFormatting>
  <conditionalFormatting sqref="J9:J10">
    <cfRule type="iconSet" priority="198">
      <iconSet>
        <cfvo type="percent" val="0"/>
        <cfvo type="percent" val="12"/>
        <cfvo type="percent" val="13"/>
      </iconSet>
    </cfRule>
    <cfRule type="duplicateValues" dxfId="78" priority="199"/>
    <cfRule type="iconSet" priority="213">
      <iconSet>
        <cfvo type="percent" val="0"/>
        <cfvo type="percent" val="12"/>
        <cfvo type="percent" val="13"/>
      </iconSet>
    </cfRule>
  </conditionalFormatting>
  <conditionalFormatting sqref="D7:D30 D32:D47">
    <cfRule type="duplicateValues" dxfId="77" priority="221"/>
  </conditionalFormatting>
  <conditionalFormatting sqref="J11:J12">
    <cfRule type="iconSet" priority="193">
      <iconSet>
        <cfvo type="percent" val="0"/>
        <cfvo type="percent" val="12"/>
        <cfvo type="percent" val="13"/>
      </iconSet>
    </cfRule>
  </conditionalFormatting>
  <conditionalFormatting sqref="AT7:AT11">
    <cfRule type="duplicateValues" dxfId="76" priority="162"/>
  </conditionalFormatting>
  <conditionalFormatting sqref="AT13:AT17">
    <cfRule type="duplicateValues" dxfId="75" priority="161"/>
  </conditionalFormatting>
  <conditionalFormatting sqref="AT19:AT23">
    <cfRule type="duplicateValues" dxfId="74" priority="160"/>
  </conditionalFormatting>
  <conditionalFormatting sqref="AT25:AT29">
    <cfRule type="duplicateValues" dxfId="73" priority="159"/>
  </conditionalFormatting>
  <conditionalFormatting sqref="BD7:BF11 BD13:BF17 BD19:BF23 BD25:BF29">
    <cfRule type="cellIs" dxfId="72" priority="152" operator="equal">
      <formula>2</formula>
    </cfRule>
  </conditionalFormatting>
  <conditionalFormatting sqref="AB7:AB8">
    <cfRule type="iconSet" priority="148">
      <iconSet>
        <cfvo type="percent" val="0"/>
        <cfvo type="percent" val="12"/>
        <cfvo type="percent" val="13"/>
      </iconSet>
    </cfRule>
  </conditionalFormatting>
  <conditionalFormatting sqref="AB9:AB10">
    <cfRule type="iconSet" priority="147">
      <iconSet>
        <cfvo type="percent" val="0"/>
        <cfvo type="percent" val="12"/>
        <cfvo type="percent" val="13"/>
      </iconSet>
    </cfRule>
  </conditionalFormatting>
  <conditionalFormatting sqref="AB11:AB12">
    <cfRule type="iconSet" priority="123">
      <iconSet>
        <cfvo type="percent" val="0"/>
        <cfvo type="percent" val="12"/>
        <cfvo type="percent" val="13"/>
      </iconSet>
    </cfRule>
  </conditionalFormatting>
  <conditionalFormatting sqref="J13:J14">
    <cfRule type="iconSet" priority="117">
      <iconSet>
        <cfvo type="percent" val="0"/>
        <cfvo type="percent" val="12"/>
        <cfvo type="percent" val="13"/>
      </iconSet>
    </cfRule>
    <cfRule type="iconSet" priority="119">
      <iconSet>
        <cfvo type="percent" val="0"/>
        <cfvo type="percent" val="12"/>
        <cfvo type="percent" val="13"/>
      </iconSet>
    </cfRule>
  </conditionalFormatting>
  <conditionalFormatting sqref="J15:J16">
    <cfRule type="iconSet" priority="115">
      <iconSet>
        <cfvo type="percent" val="0"/>
        <cfvo type="percent" val="12"/>
        <cfvo type="percent" val="13"/>
      </iconSet>
    </cfRule>
    <cfRule type="duplicateValues" dxfId="71" priority="116"/>
    <cfRule type="iconSet" priority="118">
      <iconSet>
        <cfvo type="percent" val="0"/>
        <cfvo type="percent" val="12"/>
        <cfvo type="percent" val="13"/>
      </iconSet>
    </cfRule>
  </conditionalFormatting>
  <conditionalFormatting sqref="J17:J18">
    <cfRule type="iconSet" priority="114">
      <iconSet>
        <cfvo type="percent" val="0"/>
        <cfvo type="percent" val="12"/>
        <cfvo type="percent" val="13"/>
      </iconSet>
    </cfRule>
  </conditionalFormatting>
  <conditionalFormatting sqref="J19:J20">
    <cfRule type="iconSet" priority="111">
      <iconSet>
        <cfvo type="percent" val="0"/>
        <cfvo type="percent" val="12"/>
        <cfvo type="percent" val="13"/>
      </iconSet>
    </cfRule>
    <cfRule type="iconSet" priority="113">
      <iconSet>
        <cfvo type="percent" val="0"/>
        <cfvo type="percent" val="12"/>
        <cfvo type="percent" val="13"/>
      </iconSet>
    </cfRule>
  </conditionalFormatting>
  <conditionalFormatting sqref="J21:J22">
    <cfRule type="iconSet" priority="109">
      <iconSet>
        <cfvo type="percent" val="0"/>
        <cfvo type="percent" val="12"/>
        <cfvo type="percent" val="13"/>
      </iconSet>
    </cfRule>
    <cfRule type="duplicateValues" dxfId="70" priority="110"/>
    <cfRule type="iconSet" priority="112">
      <iconSet>
        <cfvo type="percent" val="0"/>
        <cfvo type="percent" val="12"/>
        <cfvo type="percent" val="13"/>
      </iconSet>
    </cfRule>
  </conditionalFormatting>
  <conditionalFormatting sqref="J23:J24">
    <cfRule type="iconSet" priority="108">
      <iconSet>
        <cfvo type="percent" val="0"/>
        <cfvo type="percent" val="12"/>
        <cfvo type="percent" val="13"/>
      </iconSet>
    </cfRule>
  </conditionalFormatting>
  <conditionalFormatting sqref="J25:J26">
    <cfRule type="iconSet" priority="105">
      <iconSet>
        <cfvo type="percent" val="0"/>
        <cfvo type="percent" val="12"/>
        <cfvo type="percent" val="13"/>
      </iconSet>
    </cfRule>
    <cfRule type="iconSet" priority="107">
      <iconSet>
        <cfvo type="percent" val="0"/>
        <cfvo type="percent" val="12"/>
        <cfvo type="percent" val="13"/>
      </iconSet>
    </cfRule>
  </conditionalFormatting>
  <conditionalFormatting sqref="J27:J28">
    <cfRule type="iconSet" priority="103">
      <iconSet>
        <cfvo type="percent" val="0"/>
        <cfvo type="percent" val="12"/>
        <cfvo type="percent" val="13"/>
      </iconSet>
    </cfRule>
    <cfRule type="duplicateValues" dxfId="69" priority="104"/>
    <cfRule type="iconSet" priority="106">
      <iconSet>
        <cfvo type="percent" val="0"/>
        <cfvo type="percent" val="12"/>
        <cfvo type="percent" val="13"/>
      </iconSet>
    </cfRule>
  </conditionalFormatting>
  <conditionalFormatting sqref="J29:J30">
    <cfRule type="iconSet" priority="102">
      <iconSet>
        <cfvo type="percent" val="0"/>
        <cfvo type="percent" val="12"/>
        <cfvo type="percent" val="13"/>
      </iconSet>
    </cfRule>
  </conditionalFormatting>
  <conditionalFormatting sqref="S7:S8">
    <cfRule type="iconSet" priority="99">
      <iconSet>
        <cfvo type="percent" val="0"/>
        <cfvo type="percent" val="12"/>
        <cfvo type="percent" val="13"/>
      </iconSet>
    </cfRule>
    <cfRule type="iconSet" priority="101">
      <iconSet>
        <cfvo type="percent" val="0"/>
        <cfvo type="percent" val="12"/>
        <cfvo type="percent" val="13"/>
      </iconSet>
    </cfRule>
  </conditionalFormatting>
  <conditionalFormatting sqref="S9:S10">
    <cfRule type="iconSet" priority="97">
      <iconSet>
        <cfvo type="percent" val="0"/>
        <cfvo type="percent" val="12"/>
        <cfvo type="percent" val="13"/>
      </iconSet>
    </cfRule>
    <cfRule type="duplicateValues" dxfId="68" priority="98"/>
    <cfRule type="iconSet" priority="100">
      <iconSet>
        <cfvo type="percent" val="0"/>
        <cfvo type="percent" val="12"/>
        <cfvo type="percent" val="13"/>
      </iconSet>
    </cfRule>
  </conditionalFormatting>
  <conditionalFormatting sqref="S11:S12">
    <cfRule type="iconSet" priority="96">
      <iconSet>
        <cfvo type="percent" val="0"/>
        <cfvo type="percent" val="12"/>
        <cfvo type="percent" val="13"/>
      </iconSet>
    </cfRule>
  </conditionalFormatting>
  <conditionalFormatting sqref="S13:S14">
    <cfRule type="iconSet" priority="93">
      <iconSet>
        <cfvo type="percent" val="0"/>
        <cfvo type="percent" val="12"/>
        <cfvo type="percent" val="13"/>
      </iconSet>
    </cfRule>
    <cfRule type="iconSet" priority="95">
      <iconSet>
        <cfvo type="percent" val="0"/>
        <cfvo type="percent" val="12"/>
        <cfvo type="percent" val="13"/>
      </iconSet>
    </cfRule>
  </conditionalFormatting>
  <conditionalFormatting sqref="S15:S16">
    <cfRule type="iconSet" priority="91">
      <iconSet>
        <cfvo type="percent" val="0"/>
        <cfvo type="percent" val="12"/>
        <cfvo type="percent" val="13"/>
      </iconSet>
    </cfRule>
    <cfRule type="duplicateValues" dxfId="67" priority="92"/>
    <cfRule type="iconSet" priority="94">
      <iconSet>
        <cfvo type="percent" val="0"/>
        <cfvo type="percent" val="12"/>
        <cfvo type="percent" val="13"/>
      </iconSet>
    </cfRule>
  </conditionalFormatting>
  <conditionalFormatting sqref="S17:S18">
    <cfRule type="iconSet" priority="90">
      <iconSet>
        <cfvo type="percent" val="0"/>
        <cfvo type="percent" val="12"/>
        <cfvo type="percent" val="13"/>
      </iconSet>
    </cfRule>
  </conditionalFormatting>
  <conditionalFormatting sqref="S19:S20">
    <cfRule type="iconSet" priority="87">
      <iconSet>
        <cfvo type="percent" val="0"/>
        <cfvo type="percent" val="12"/>
        <cfvo type="percent" val="13"/>
      </iconSet>
    </cfRule>
    <cfRule type="iconSet" priority="89">
      <iconSet>
        <cfvo type="percent" val="0"/>
        <cfvo type="percent" val="12"/>
        <cfvo type="percent" val="13"/>
      </iconSet>
    </cfRule>
  </conditionalFormatting>
  <conditionalFormatting sqref="S21:S22">
    <cfRule type="iconSet" priority="85">
      <iconSet>
        <cfvo type="percent" val="0"/>
        <cfvo type="percent" val="12"/>
        <cfvo type="percent" val="13"/>
      </iconSet>
    </cfRule>
    <cfRule type="duplicateValues" dxfId="66" priority="86"/>
    <cfRule type="iconSet" priority="88">
      <iconSet>
        <cfvo type="percent" val="0"/>
        <cfvo type="percent" val="12"/>
        <cfvo type="percent" val="13"/>
      </iconSet>
    </cfRule>
  </conditionalFormatting>
  <conditionalFormatting sqref="S23:S24">
    <cfRule type="iconSet" priority="84">
      <iconSet>
        <cfvo type="percent" val="0"/>
        <cfvo type="percent" val="12"/>
        <cfvo type="percent" val="13"/>
      </iconSet>
    </cfRule>
  </conditionalFormatting>
  <conditionalFormatting sqref="S25:S26">
    <cfRule type="iconSet" priority="81">
      <iconSet>
        <cfvo type="percent" val="0"/>
        <cfvo type="percent" val="12"/>
        <cfvo type="percent" val="13"/>
      </iconSet>
    </cfRule>
    <cfRule type="iconSet" priority="83">
      <iconSet>
        <cfvo type="percent" val="0"/>
        <cfvo type="percent" val="12"/>
        <cfvo type="percent" val="13"/>
      </iconSet>
    </cfRule>
  </conditionalFormatting>
  <conditionalFormatting sqref="S27:S28">
    <cfRule type="iconSet" priority="79">
      <iconSet>
        <cfvo type="percent" val="0"/>
        <cfvo type="percent" val="12"/>
        <cfvo type="percent" val="13"/>
      </iconSet>
    </cfRule>
    <cfRule type="duplicateValues" dxfId="65" priority="80"/>
    <cfRule type="iconSet" priority="82">
      <iconSet>
        <cfvo type="percent" val="0"/>
        <cfvo type="percent" val="12"/>
        <cfvo type="percent" val="13"/>
      </iconSet>
    </cfRule>
  </conditionalFormatting>
  <conditionalFormatting sqref="S29:S30">
    <cfRule type="iconSet" priority="78">
      <iconSet>
        <cfvo type="percent" val="0"/>
        <cfvo type="percent" val="12"/>
        <cfvo type="percent" val="13"/>
      </iconSet>
    </cfRule>
  </conditionalFormatting>
  <conditionalFormatting sqref="AB13:AB14">
    <cfRule type="iconSet" priority="77">
      <iconSet>
        <cfvo type="percent" val="0"/>
        <cfvo type="percent" val="12"/>
        <cfvo type="percent" val="13"/>
      </iconSet>
    </cfRule>
  </conditionalFormatting>
  <conditionalFormatting sqref="AB15:AB16">
    <cfRule type="iconSet" priority="76">
      <iconSet>
        <cfvo type="percent" val="0"/>
        <cfvo type="percent" val="12"/>
        <cfvo type="percent" val="13"/>
      </iconSet>
    </cfRule>
  </conditionalFormatting>
  <conditionalFormatting sqref="AB17:AB18">
    <cfRule type="iconSet" priority="75">
      <iconSet>
        <cfvo type="percent" val="0"/>
        <cfvo type="percent" val="12"/>
        <cfvo type="percent" val="13"/>
      </iconSet>
    </cfRule>
  </conditionalFormatting>
  <conditionalFormatting sqref="AB19:AB20">
    <cfRule type="iconSet" priority="74">
      <iconSet>
        <cfvo type="percent" val="0"/>
        <cfvo type="percent" val="12"/>
        <cfvo type="percent" val="13"/>
      </iconSet>
    </cfRule>
  </conditionalFormatting>
  <conditionalFormatting sqref="AB21:AB22">
    <cfRule type="iconSet" priority="73">
      <iconSet>
        <cfvo type="percent" val="0"/>
        <cfvo type="percent" val="12"/>
        <cfvo type="percent" val="13"/>
      </iconSet>
    </cfRule>
  </conditionalFormatting>
  <conditionalFormatting sqref="AB23:AB24">
    <cfRule type="iconSet" priority="72">
      <iconSet>
        <cfvo type="percent" val="0"/>
        <cfvo type="percent" val="12"/>
        <cfvo type="percent" val="13"/>
      </iconSet>
    </cfRule>
  </conditionalFormatting>
  <conditionalFormatting sqref="AB29:AB30">
    <cfRule type="iconSet" priority="69">
      <iconSet>
        <cfvo type="percent" val="0"/>
        <cfvo type="percent" val="12"/>
        <cfvo type="percent" val="13"/>
      </iconSet>
    </cfRule>
  </conditionalFormatting>
  <conditionalFormatting sqref="AB25:AB26">
    <cfRule type="iconSet" priority="67">
      <iconSet>
        <cfvo type="percent" val="0"/>
        <cfvo type="percent" val="12"/>
        <cfvo type="percent" val="13"/>
      </iconSet>
    </cfRule>
  </conditionalFormatting>
  <conditionalFormatting sqref="AB27:AB28">
    <cfRule type="iconSet" priority="66">
      <iconSet>
        <cfvo type="percent" val="0"/>
        <cfvo type="percent" val="12"/>
        <cfvo type="percent" val="13"/>
      </iconSet>
    </cfRule>
  </conditionalFormatting>
  <conditionalFormatting sqref="J35:J36">
    <cfRule type="iconSet" priority="64">
      <iconSet>
        <cfvo type="percent" val="0"/>
        <cfvo type="percent" val="12"/>
        <cfvo type="percent" val="13"/>
      </iconSet>
    </cfRule>
    <cfRule type="iconSet" priority="65">
      <iconSet>
        <cfvo type="percent" val="0"/>
        <cfvo type="percent" val="12"/>
        <cfvo type="percent" val="13"/>
      </iconSet>
    </cfRule>
  </conditionalFormatting>
  <conditionalFormatting sqref="J37:J38">
    <cfRule type="iconSet" priority="61">
      <iconSet>
        <cfvo type="percent" val="0"/>
        <cfvo type="percent" val="12"/>
        <cfvo type="percent" val="13"/>
      </iconSet>
    </cfRule>
    <cfRule type="duplicateValues" dxfId="64" priority="62"/>
    <cfRule type="iconSet" priority="63">
      <iconSet>
        <cfvo type="percent" val="0"/>
        <cfvo type="percent" val="12"/>
        <cfvo type="percent" val="13"/>
      </iconSet>
    </cfRule>
  </conditionalFormatting>
  <conditionalFormatting sqref="J39:J40">
    <cfRule type="iconSet" priority="60">
      <iconSet>
        <cfvo type="percent" val="0"/>
        <cfvo type="percent" val="12"/>
        <cfvo type="percent" val="13"/>
      </iconSet>
    </cfRule>
  </conditionalFormatting>
  <conditionalFormatting sqref="AT35:AT39">
    <cfRule type="duplicateValues" dxfId="63" priority="59"/>
  </conditionalFormatting>
  <conditionalFormatting sqref="AT41:AT45">
    <cfRule type="duplicateValues" dxfId="62" priority="58"/>
  </conditionalFormatting>
  <conditionalFormatting sqref="AT47:AT51">
    <cfRule type="duplicateValues" dxfId="61" priority="57"/>
  </conditionalFormatting>
  <conditionalFormatting sqref="AT53:AT57">
    <cfRule type="duplicateValues" dxfId="60" priority="56"/>
  </conditionalFormatting>
  <conditionalFormatting sqref="BD35:BF39 BD41:BF45 BD47:BF51 BD53:BF57">
    <cfRule type="cellIs" dxfId="59" priority="55" operator="equal">
      <formula>2</formula>
    </cfRule>
  </conditionalFormatting>
  <conditionalFormatting sqref="AB35:AB36">
    <cfRule type="iconSet" priority="54">
      <iconSet>
        <cfvo type="percent" val="0"/>
        <cfvo type="percent" val="12"/>
        <cfvo type="percent" val="13"/>
      </iconSet>
    </cfRule>
  </conditionalFormatting>
  <conditionalFormatting sqref="AB37:AB38">
    <cfRule type="iconSet" priority="53">
      <iconSet>
        <cfvo type="percent" val="0"/>
        <cfvo type="percent" val="12"/>
        <cfvo type="percent" val="13"/>
      </iconSet>
    </cfRule>
  </conditionalFormatting>
  <conditionalFormatting sqref="AB39:AB40">
    <cfRule type="iconSet" priority="52">
      <iconSet>
        <cfvo type="percent" val="0"/>
        <cfvo type="percent" val="12"/>
        <cfvo type="percent" val="13"/>
      </iconSet>
    </cfRule>
  </conditionalFormatting>
  <conditionalFormatting sqref="J41:J42">
    <cfRule type="iconSet" priority="50">
      <iconSet>
        <cfvo type="percent" val="0"/>
        <cfvo type="percent" val="12"/>
        <cfvo type="percent" val="13"/>
      </iconSet>
    </cfRule>
    <cfRule type="iconSet" priority="51">
      <iconSet>
        <cfvo type="percent" val="0"/>
        <cfvo type="percent" val="12"/>
        <cfvo type="percent" val="13"/>
      </iconSet>
    </cfRule>
  </conditionalFormatting>
  <conditionalFormatting sqref="J43:J44">
    <cfRule type="iconSet" priority="47">
      <iconSet>
        <cfvo type="percent" val="0"/>
        <cfvo type="percent" val="12"/>
        <cfvo type="percent" val="13"/>
      </iconSet>
    </cfRule>
    <cfRule type="duplicateValues" dxfId="58" priority="48"/>
    <cfRule type="iconSet" priority="49">
      <iconSet>
        <cfvo type="percent" val="0"/>
        <cfvo type="percent" val="12"/>
        <cfvo type="percent" val="13"/>
      </iconSet>
    </cfRule>
  </conditionalFormatting>
  <conditionalFormatting sqref="J45:J46">
    <cfRule type="iconSet" priority="46">
      <iconSet>
        <cfvo type="percent" val="0"/>
        <cfvo type="percent" val="12"/>
        <cfvo type="percent" val="13"/>
      </iconSet>
    </cfRule>
  </conditionalFormatting>
  <conditionalFormatting sqref="J47:J48">
    <cfRule type="iconSet" priority="44">
      <iconSet>
        <cfvo type="percent" val="0"/>
        <cfvo type="percent" val="12"/>
        <cfvo type="percent" val="13"/>
      </iconSet>
    </cfRule>
    <cfRule type="iconSet" priority="45">
      <iconSet>
        <cfvo type="percent" val="0"/>
        <cfvo type="percent" val="12"/>
        <cfvo type="percent" val="13"/>
      </iconSet>
    </cfRule>
  </conditionalFormatting>
  <conditionalFormatting sqref="J49:J50">
    <cfRule type="iconSet" priority="41">
      <iconSet>
        <cfvo type="percent" val="0"/>
        <cfvo type="percent" val="12"/>
        <cfvo type="percent" val="13"/>
      </iconSet>
    </cfRule>
    <cfRule type="duplicateValues" dxfId="57" priority="42"/>
    <cfRule type="iconSet" priority="43">
      <iconSet>
        <cfvo type="percent" val="0"/>
        <cfvo type="percent" val="12"/>
        <cfvo type="percent" val="13"/>
      </iconSet>
    </cfRule>
  </conditionalFormatting>
  <conditionalFormatting sqref="J51:J52">
    <cfRule type="iconSet" priority="40">
      <iconSet>
        <cfvo type="percent" val="0"/>
        <cfvo type="percent" val="12"/>
        <cfvo type="percent" val="13"/>
      </iconSet>
    </cfRule>
  </conditionalFormatting>
  <conditionalFormatting sqref="J53:J54">
    <cfRule type="iconSet" priority="38">
      <iconSet>
        <cfvo type="percent" val="0"/>
        <cfvo type="percent" val="12"/>
        <cfvo type="percent" val="13"/>
      </iconSet>
    </cfRule>
    <cfRule type="iconSet" priority="39">
      <iconSet>
        <cfvo type="percent" val="0"/>
        <cfvo type="percent" val="12"/>
        <cfvo type="percent" val="13"/>
      </iconSet>
    </cfRule>
  </conditionalFormatting>
  <conditionalFormatting sqref="J55:J56">
    <cfRule type="iconSet" priority="35">
      <iconSet>
        <cfvo type="percent" val="0"/>
        <cfvo type="percent" val="12"/>
        <cfvo type="percent" val="13"/>
      </iconSet>
    </cfRule>
    <cfRule type="duplicateValues" dxfId="56" priority="36"/>
    <cfRule type="iconSet" priority="37">
      <iconSet>
        <cfvo type="percent" val="0"/>
        <cfvo type="percent" val="12"/>
        <cfvo type="percent" val="13"/>
      </iconSet>
    </cfRule>
  </conditionalFormatting>
  <conditionalFormatting sqref="J57:J58">
    <cfRule type="iconSet" priority="34">
      <iconSet>
        <cfvo type="percent" val="0"/>
        <cfvo type="percent" val="12"/>
        <cfvo type="percent" val="13"/>
      </iconSet>
    </cfRule>
  </conditionalFormatting>
  <conditionalFormatting sqref="S35:S36">
    <cfRule type="iconSet" priority="32">
      <iconSet>
        <cfvo type="percent" val="0"/>
        <cfvo type="percent" val="12"/>
        <cfvo type="percent" val="13"/>
      </iconSet>
    </cfRule>
    <cfRule type="iconSet" priority="33">
      <iconSet>
        <cfvo type="percent" val="0"/>
        <cfvo type="percent" val="12"/>
        <cfvo type="percent" val="13"/>
      </iconSet>
    </cfRule>
  </conditionalFormatting>
  <conditionalFormatting sqref="S37:S38">
    <cfRule type="iconSet" priority="29">
      <iconSet>
        <cfvo type="percent" val="0"/>
        <cfvo type="percent" val="12"/>
        <cfvo type="percent" val="13"/>
      </iconSet>
    </cfRule>
    <cfRule type="duplicateValues" dxfId="55" priority="30"/>
    <cfRule type="iconSet" priority="31">
      <iconSet>
        <cfvo type="percent" val="0"/>
        <cfvo type="percent" val="12"/>
        <cfvo type="percent" val="13"/>
      </iconSet>
    </cfRule>
  </conditionalFormatting>
  <conditionalFormatting sqref="S39:S40">
    <cfRule type="iconSet" priority="28">
      <iconSet>
        <cfvo type="percent" val="0"/>
        <cfvo type="percent" val="12"/>
        <cfvo type="percent" val="13"/>
      </iconSet>
    </cfRule>
  </conditionalFormatting>
  <conditionalFormatting sqref="S41:S42">
    <cfRule type="iconSet" priority="26">
      <iconSet>
        <cfvo type="percent" val="0"/>
        <cfvo type="percent" val="12"/>
        <cfvo type="percent" val="13"/>
      </iconSet>
    </cfRule>
    <cfRule type="iconSet" priority="27">
      <iconSet>
        <cfvo type="percent" val="0"/>
        <cfvo type="percent" val="12"/>
        <cfvo type="percent" val="13"/>
      </iconSet>
    </cfRule>
  </conditionalFormatting>
  <conditionalFormatting sqref="S43:S44">
    <cfRule type="iconSet" priority="23">
      <iconSet>
        <cfvo type="percent" val="0"/>
        <cfvo type="percent" val="12"/>
        <cfvo type="percent" val="13"/>
      </iconSet>
    </cfRule>
    <cfRule type="duplicateValues" dxfId="54" priority="24"/>
    <cfRule type="iconSet" priority="25">
      <iconSet>
        <cfvo type="percent" val="0"/>
        <cfvo type="percent" val="12"/>
        <cfvo type="percent" val="13"/>
      </iconSet>
    </cfRule>
  </conditionalFormatting>
  <conditionalFormatting sqref="S45:S46">
    <cfRule type="iconSet" priority="22">
      <iconSet>
        <cfvo type="percent" val="0"/>
        <cfvo type="percent" val="12"/>
        <cfvo type="percent" val="13"/>
      </iconSet>
    </cfRule>
  </conditionalFormatting>
  <conditionalFormatting sqref="S47:S48">
    <cfRule type="iconSet" priority="20">
      <iconSet>
        <cfvo type="percent" val="0"/>
        <cfvo type="percent" val="12"/>
        <cfvo type="percent" val="13"/>
      </iconSet>
    </cfRule>
    <cfRule type="iconSet" priority="21">
      <iconSet>
        <cfvo type="percent" val="0"/>
        <cfvo type="percent" val="12"/>
        <cfvo type="percent" val="13"/>
      </iconSet>
    </cfRule>
  </conditionalFormatting>
  <conditionalFormatting sqref="S49:S50">
    <cfRule type="iconSet" priority="17">
      <iconSet>
        <cfvo type="percent" val="0"/>
        <cfvo type="percent" val="12"/>
        <cfvo type="percent" val="13"/>
      </iconSet>
    </cfRule>
    <cfRule type="duplicateValues" dxfId="53" priority="18"/>
    <cfRule type="iconSet" priority="19">
      <iconSet>
        <cfvo type="percent" val="0"/>
        <cfvo type="percent" val="12"/>
        <cfvo type="percent" val="13"/>
      </iconSet>
    </cfRule>
  </conditionalFormatting>
  <conditionalFormatting sqref="S51:S52">
    <cfRule type="iconSet" priority="16">
      <iconSet>
        <cfvo type="percent" val="0"/>
        <cfvo type="percent" val="12"/>
        <cfvo type="percent" val="13"/>
      </iconSet>
    </cfRule>
  </conditionalFormatting>
  <conditionalFormatting sqref="S53:S54">
    <cfRule type="iconSet" priority="14">
      <iconSet>
        <cfvo type="percent" val="0"/>
        <cfvo type="percent" val="12"/>
        <cfvo type="percent" val="13"/>
      </iconSet>
    </cfRule>
    <cfRule type="iconSet" priority="15">
      <iconSet>
        <cfvo type="percent" val="0"/>
        <cfvo type="percent" val="12"/>
        <cfvo type="percent" val="13"/>
      </iconSet>
    </cfRule>
  </conditionalFormatting>
  <conditionalFormatting sqref="S55:S56">
    <cfRule type="iconSet" priority="11">
      <iconSet>
        <cfvo type="percent" val="0"/>
        <cfvo type="percent" val="12"/>
        <cfvo type="percent" val="13"/>
      </iconSet>
    </cfRule>
    <cfRule type="duplicateValues" dxfId="52" priority="12"/>
    <cfRule type="iconSet" priority="13">
      <iconSet>
        <cfvo type="percent" val="0"/>
        <cfvo type="percent" val="12"/>
        <cfvo type="percent" val="13"/>
      </iconSet>
    </cfRule>
  </conditionalFormatting>
  <conditionalFormatting sqref="S57:S58">
    <cfRule type="iconSet" priority="10">
      <iconSet>
        <cfvo type="percent" val="0"/>
        <cfvo type="percent" val="12"/>
        <cfvo type="percent" val="13"/>
      </iconSet>
    </cfRule>
  </conditionalFormatting>
  <conditionalFormatting sqref="AB41:AB42">
    <cfRule type="iconSet" priority="9">
      <iconSet>
        <cfvo type="percent" val="0"/>
        <cfvo type="percent" val="12"/>
        <cfvo type="percent" val="13"/>
      </iconSet>
    </cfRule>
  </conditionalFormatting>
  <conditionalFormatting sqref="AB43:AB44">
    <cfRule type="iconSet" priority="8">
      <iconSet>
        <cfvo type="percent" val="0"/>
        <cfvo type="percent" val="12"/>
        <cfvo type="percent" val="13"/>
      </iconSet>
    </cfRule>
  </conditionalFormatting>
  <conditionalFormatting sqref="AB45:AB46">
    <cfRule type="iconSet" priority="7">
      <iconSet>
        <cfvo type="percent" val="0"/>
        <cfvo type="percent" val="12"/>
        <cfvo type="percent" val="13"/>
      </iconSet>
    </cfRule>
  </conditionalFormatting>
  <conditionalFormatting sqref="AB47:AB48">
    <cfRule type="iconSet" priority="6">
      <iconSet>
        <cfvo type="percent" val="0"/>
        <cfvo type="percent" val="12"/>
        <cfvo type="percent" val="13"/>
      </iconSet>
    </cfRule>
  </conditionalFormatting>
  <conditionalFormatting sqref="AB49:AB50">
    <cfRule type="iconSet" priority="5">
      <iconSet>
        <cfvo type="percent" val="0"/>
        <cfvo type="percent" val="12"/>
        <cfvo type="percent" val="13"/>
      </iconSet>
    </cfRule>
  </conditionalFormatting>
  <conditionalFormatting sqref="AB51:AB52">
    <cfRule type="iconSet" priority="4">
      <iconSet>
        <cfvo type="percent" val="0"/>
        <cfvo type="percent" val="12"/>
        <cfvo type="percent" val="13"/>
      </iconSet>
    </cfRule>
  </conditionalFormatting>
  <conditionalFormatting sqref="AB57:AB58">
    <cfRule type="iconSet" priority="3">
      <iconSet>
        <cfvo type="percent" val="0"/>
        <cfvo type="percent" val="12"/>
        <cfvo type="percent" val="13"/>
      </iconSet>
    </cfRule>
  </conditionalFormatting>
  <conditionalFormatting sqref="AB53:AB54">
    <cfRule type="iconSet" priority="2">
      <iconSet>
        <cfvo type="percent" val="0"/>
        <cfvo type="percent" val="12"/>
        <cfvo type="percent" val="13"/>
      </iconSet>
    </cfRule>
  </conditionalFormatting>
  <conditionalFormatting sqref="AB55:AB56">
    <cfRule type="iconSet" priority="1">
      <iconSet>
        <cfvo type="percent" val="0"/>
        <cfvo type="percent" val="12"/>
        <cfvo type="percent" val="13"/>
      </iconSet>
    </cfRule>
  </conditionalFormatting>
  <pageMargins left="0.11811023622047245" right="0.11811023622047245" top="0.55118110236220474" bottom="0.43307086614173229" header="0.11811023622047245" footer="0.19685039370078741"/>
  <pageSetup paperSize="9" scale="66" orientation="landscape" horizontalDpi="4294967293" verticalDpi="72" copies="2" r:id="rId1"/>
  <headerFooter alignWithMargins="0">
    <oddFooter>&amp;F&amp;RPage &amp;P</oddFooter>
  </headerFooter>
  <colBreaks count="2" manualBreakCount="2">
    <brk id="5" max="31" man="1"/>
    <brk id="5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F39"/>
  <sheetViews>
    <sheetView zoomScale="60" zoomScaleNormal="60" workbookViewId="0">
      <selection activeCell="V14" sqref="V14"/>
    </sheetView>
  </sheetViews>
  <sheetFormatPr baseColWidth="10" defaultRowHeight="48.75" customHeight="1"/>
  <cols>
    <col min="1" max="1" width="9.28515625" customWidth="1"/>
    <col min="2" max="2" width="3" customWidth="1"/>
    <col min="3" max="3" width="37.42578125" customWidth="1"/>
    <col min="4" max="4" width="11.7109375" customWidth="1"/>
    <col min="5" max="5" width="6.42578125" customWidth="1"/>
    <col min="6" max="6" width="10.140625" customWidth="1"/>
    <col min="7" max="7" width="3.28515625" customWidth="1"/>
    <col min="8" max="8" width="46.42578125" customWidth="1"/>
    <col min="9" max="9" width="10.5703125" customWidth="1"/>
    <col min="10" max="10" width="7.85546875" customWidth="1"/>
    <col min="11" max="11" width="11.5703125" customWidth="1"/>
    <col min="12" max="12" width="2.7109375" customWidth="1"/>
    <col min="13" max="13" width="46.28515625" customWidth="1"/>
    <col min="14" max="14" width="10.85546875" customWidth="1"/>
    <col min="15" max="15" width="16.28515625" customWidth="1"/>
    <col min="16" max="16" width="0" hidden="1" customWidth="1"/>
    <col min="17" max="17" width="35.85546875" customWidth="1"/>
    <col min="18" max="18" width="15.5703125" customWidth="1"/>
    <col min="19" max="19" width="6.5703125" customWidth="1"/>
    <col min="20" max="20" width="38.5703125" customWidth="1"/>
    <col min="21" max="21" width="15" customWidth="1"/>
    <col min="22" max="22" width="0.140625" customWidth="1"/>
    <col min="23" max="23" width="0.28515625" customWidth="1"/>
    <col min="24" max="24" width="38.28515625" customWidth="1"/>
    <col min="25" max="25" width="11.5703125" customWidth="1"/>
    <col min="26" max="26" width="16.7109375" hidden="1" customWidth="1"/>
    <col min="27" max="27" width="18.5703125" hidden="1" customWidth="1"/>
    <col min="28" max="28" width="38.5703125" customWidth="1"/>
    <col min="29" max="29" width="13.140625" customWidth="1"/>
    <col min="30" max="30" width="13.140625" hidden="1" customWidth="1"/>
    <col min="31" max="31" width="16.5703125" hidden="1" customWidth="1"/>
    <col min="32" max="32" width="16.140625" customWidth="1"/>
  </cols>
  <sheetData>
    <row r="1" spans="1:32" ht="48.75" customHeight="1" thickBot="1">
      <c r="A1" s="517" t="str">
        <f>+'Parties groupes_V'!A1:G1</f>
        <v>CONCOURS QUALIFICATIFS ARDECHE  -  2022.2023</v>
      </c>
      <c r="B1" s="518"/>
      <c r="C1" s="518"/>
      <c r="D1" s="518"/>
      <c r="E1" s="518"/>
      <c r="F1" s="518"/>
      <c r="G1" s="518"/>
      <c r="H1" s="518"/>
      <c r="I1" s="518"/>
      <c r="J1" s="519"/>
      <c r="K1" s="520" t="str">
        <f>+'Parties groupes_V'!H1</f>
        <v>SATILLIEU</v>
      </c>
      <c r="L1" s="521"/>
      <c r="M1" s="522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48.75" customHeight="1" thickBot="1">
      <c r="A2" s="523" t="str">
        <f>+'Parties groupes_V'!A2:G2</f>
        <v>M4 - 5ème Journée</v>
      </c>
      <c r="B2" s="524"/>
      <c r="C2" s="524"/>
      <c r="D2" s="524"/>
      <c r="E2" s="524"/>
      <c r="F2" s="524"/>
      <c r="G2" s="524"/>
      <c r="H2" s="524"/>
      <c r="I2" s="524"/>
      <c r="J2" s="525"/>
      <c r="K2" s="526" t="str">
        <f>+'Parties groupes_V'!H2</f>
        <v>S. 18 mars 2023</v>
      </c>
      <c r="L2" s="527"/>
      <c r="M2" s="528"/>
      <c r="N2" s="44"/>
      <c r="O2" s="44"/>
      <c r="P2" s="44"/>
      <c r="Q2" s="514" t="s">
        <v>70</v>
      </c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44"/>
    </row>
    <row r="3" spans="1:32" ht="48.75" customHeight="1" thickBot="1">
      <c r="A3" s="45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7"/>
      <c r="AF3" s="44"/>
    </row>
    <row r="4" spans="1:32" ht="48.75" customHeight="1" thickBot="1">
      <c r="A4" s="529" t="s">
        <v>40</v>
      </c>
      <c r="B4" s="530"/>
      <c r="C4" s="530"/>
      <c r="D4" s="531"/>
      <c r="E4" s="45"/>
      <c r="F4" s="532" t="s">
        <v>41</v>
      </c>
      <c r="G4" s="533"/>
      <c r="H4" s="533"/>
      <c r="I4" s="534"/>
      <c r="J4" s="44"/>
      <c r="K4" s="45"/>
      <c r="L4" s="44"/>
      <c r="M4" s="44"/>
      <c r="N4" s="44"/>
      <c r="O4" s="44"/>
      <c r="P4" s="44"/>
      <c r="Q4" s="515" t="s">
        <v>71</v>
      </c>
      <c r="R4" s="516"/>
      <c r="S4" s="85"/>
      <c r="T4" s="85"/>
      <c r="U4" s="86" t="s">
        <v>72</v>
      </c>
      <c r="V4" s="87"/>
      <c r="W4" s="184"/>
      <c r="X4" s="85"/>
      <c r="Y4" s="86" t="s">
        <v>73</v>
      </c>
      <c r="Z4" s="88"/>
      <c r="AA4" s="187"/>
      <c r="AB4" s="85"/>
      <c r="AC4" s="86" t="s">
        <v>43</v>
      </c>
      <c r="AD4" s="87"/>
      <c r="AE4" s="44"/>
    </row>
    <row r="5" spans="1:32" ht="48.75" customHeight="1">
      <c r="A5" s="46"/>
      <c r="B5" s="46"/>
      <c r="C5" s="46"/>
      <c r="D5" s="46"/>
      <c r="E5" s="45"/>
      <c r="F5" s="46"/>
      <c r="G5" s="46"/>
      <c r="H5" s="46"/>
      <c r="I5" s="4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4"/>
      <c r="W5" s="44"/>
      <c r="X5" s="44"/>
      <c r="Y5" s="44"/>
      <c r="Z5" s="44"/>
      <c r="AA5" s="44"/>
      <c r="AB5" s="44"/>
      <c r="AC5" s="44"/>
      <c r="AD5" s="44"/>
      <c r="AE5" s="47"/>
    </row>
    <row r="6" spans="1:32" ht="48.75" customHeight="1" thickBot="1">
      <c r="A6" s="112" t="s">
        <v>2</v>
      </c>
      <c r="B6" s="112"/>
      <c r="C6" s="239" t="s">
        <v>0</v>
      </c>
      <c r="D6" s="239" t="s">
        <v>1</v>
      </c>
      <c r="E6" s="112"/>
      <c r="F6" s="112" t="s">
        <v>2</v>
      </c>
      <c r="G6" s="112"/>
      <c r="H6" s="239" t="s">
        <v>0</v>
      </c>
      <c r="I6" s="239" t="s">
        <v>1</v>
      </c>
      <c r="J6" s="44"/>
      <c r="K6" s="45"/>
      <c r="L6" s="44"/>
      <c r="M6" s="44"/>
      <c r="N6" s="44"/>
      <c r="O6" s="44"/>
      <c r="P6" s="85"/>
      <c r="Q6" s="85"/>
      <c r="R6" s="60" t="s">
        <v>74</v>
      </c>
      <c r="S6" s="85"/>
      <c r="T6" s="85"/>
      <c r="U6" s="60" t="s">
        <v>74</v>
      </c>
      <c r="V6" s="89" t="s">
        <v>75</v>
      </c>
      <c r="W6" s="89" t="s">
        <v>83</v>
      </c>
      <c r="X6" s="89" t="s">
        <v>139</v>
      </c>
      <c r="Y6" s="90" t="s">
        <v>57</v>
      </c>
      <c r="Z6" s="89" t="s">
        <v>73</v>
      </c>
      <c r="AA6" s="89" t="s">
        <v>83</v>
      </c>
      <c r="AB6" s="85" t="s">
        <v>43</v>
      </c>
      <c r="AC6" s="90" t="s">
        <v>57</v>
      </c>
      <c r="AD6" s="89" t="s">
        <v>20</v>
      </c>
      <c r="AE6" s="85" t="s">
        <v>202</v>
      </c>
    </row>
    <row r="7" spans="1:32" ht="48.75" customHeight="1" thickBot="1">
      <c r="A7" s="535"/>
      <c r="B7" s="91" t="s">
        <v>42</v>
      </c>
      <c r="C7" s="92" t="str">
        <f>+'Parties groupes_V'!AU8</f>
        <v xml:space="preserve"> </v>
      </c>
      <c r="D7" s="93">
        <v>8</v>
      </c>
      <c r="E7" s="48"/>
      <c r="F7" s="535"/>
      <c r="G7" s="91" t="s">
        <v>42</v>
      </c>
      <c r="H7" s="94" t="str">
        <f>+'Parties groupes_V'!AU7</f>
        <v xml:space="preserve"> </v>
      </c>
      <c r="I7" s="95">
        <v>10</v>
      </c>
      <c r="J7" s="96"/>
      <c r="K7" s="537" t="s">
        <v>43</v>
      </c>
      <c r="L7" s="538"/>
      <c r="M7" s="538"/>
      <c r="N7" s="539"/>
      <c r="O7" s="44"/>
      <c r="P7" s="85">
        <v>4</v>
      </c>
      <c r="Q7" s="97" t="str">
        <f>+'Parties groupes_V'!AU10</f>
        <v xml:space="preserve"> </v>
      </c>
      <c r="R7" s="98" t="str">
        <f>IF(ISNA(VLOOKUP(Q7,'Parties groupes_V'!$BB$7:$BC$11,2,0)),"",VLOOKUP(Q7,'Parties groupes_V'!$BB$7:$BC$11,2,0))</f>
        <v/>
      </c>
      <c r="S7" s="85"/>
      <c r="T7" s="99" t="str">
        <f t="shared" ref="T7:T14" si="0">+C7</f>
        <v xml:space="preserve"> </v>
      </c>
      <c r="U7" s="100">
        <f>SUM(IFERROR(VLOOKUP(T7,$T$7:$V$15,3,0),0),IFERROR(VLOOKUP(T7,'[1]1A_G'!$R$7:$V$25,2,0),0))</f>
        <v>1</v>
      </c>
      <c r="V7" s="101">
        <f t="array" ref="V7">IF(OR(C7:C8="OFFICE"),0,IF(D7&gt;D8,1,0))</f>
        <v>1</v>
      </c>
      <c r="W7" s="186">
        <f t="shared" ref="W7:W14" si="1">V7*4</f>
        <v>4</v>
      </c>
      <c r="X7" s="102"/>
      <c r="Y7" s="103"/>
      <c r="Z7" s="104"/>
      <c r="AA7" s="102"/>
      <c r="AB7" s="105"/>
      <c r="AC7" s="103"/>
      <c r="AD7" s="106"/>
      <c r="AE7" s="85"/>
    </row>
    <row r="8" spans="1:32" ht="48.75" customHeight="1" thickBot="1">
      <c r="A8" s="536"/>
      <c r="B8" s="107" t="s">
        <v>44</v>
      </c>
      <c r="C8" s="108" t="str">
        <f>+'Parties groupes_V'!AU15</f>
        <v xml:space="preserve"> </v>
      </c>
      <c r="D8" s="109">
        <v>7</v>
      </c>
      <c r="E8" s="48"/>
      <c r="F8" s="536"/>
      <c r="G8" s="107" t="s">
        <v>44</v>
      </c>
      <c r="H8" s="110" t="str">
        <f>+'Parties groupes_V'!AU13</f>
        <v xml:space="preserve"> </v>
      </c>
      <c r="I8" s="111">
        <v>9</v>
      </c>
      <c r="J8" s="96"/>
      <c r="K8" s="112"/>
      <c r="L8" s="113"/>
      <c r="M8" s="113"/>
      <c r="N8" s="113"/>
      <c r="O8" s="44"/>
      <c r="P8" s="85">
        <v>4</v>
      </c>
      <c r="Q8" s="97" t="str">
        <f>+'Parties groupes_V'!AU16</f>
        <v xml:space="preserve"> </v>
      </c>
      <c r="R8" s="98" t="str">
        <f>IF(ISNA(VLOOKUP(Q8,'Parties groupes_V'!$BB$13:$BC$17,2,0)),"",VLOOKUP(Q8,'Parties groupes_V'!$BB$13:$BC$17,2,0))</f>
        <v/>
      </c>
      <c r="S8" s="85"/>
      <c r="T8" s="114" t="str">
        <f t="shared" si="0"/>
        <v xml:space="preserve"> </v>
      </c>
      <c r="U8" s="115">
        <f>SUM(IFERROR(VLOOKUP(T8,$T$7:$V$15,3,0),0),IFERROR(VLOOKUP(T8,'[1]1A_G'!$R$7:$V$25,2,0),0))</f>
        <v>1</v>
      </c>
      <c r="V8" s="116">
        <f t="array" ref="V8">IF(OR(C7:C8="OFFICE"),0,IF(D7&lt;D8,1,0))</f>
        <v>0</v>
      </c>
      <c r="W8" s="186">
        <f t="shared" si="1"/>
        <v>0</v>
      </c>
      <c r="X8" s="117" t="str">
        <f>+H7</f>
        <v xml:space="preserve"> </v>
      </c>
      <c r="Y8" s="118">
        <f>SUM(IFERROR(VLOOKUP(X8,$X$7:$Z$15,3,0),0),IFERROR(VLOOKUP(X8,'Parties groupes_V'!$BB7:BC29,2,0),0))</f>
        <v>1</v>
      </c>
      <c r="Z8" s="116">
        <f t="array" ref="Z8">IF(OR(H7:H8="OFFICE"),0,IF(I7&gt;I8,1,0))</f>
        <v>1</v>
      </c>
      <c r="AA8" s="117">
        <f>Z8*8</f>
        <v>8</v>
      </c>
      <c r="AB8" s="119"/>
      <c r="AC8" s="120"/>
      <c r="AD8" s="121"/>
      <c r="AE8" s="85"/>
    </row>
    <row r="9" spans="1:32" ht="48.75" customHeight="1" thickBot="1">
      <c r="A9" s="535"/>
      <c r="B9" s="91" t="s">
        <v>45</v>
      </c>
      <c r="C9" s="122" t="str">
        <f>+'Parties groupes_V'!AU20</f>
        <v xml:space="preserve"> </v>
      </c>
      <c r="D9" s="93">
        <v>5</v>
      </c>
      <c r="E9" s="48"/>
      <c r="F9" s="49"/>
      <c r="G9" s="123"/>
      <c r="H9" s="124"/>
      <c r="I9" s="125"/>
      <c r="J9" s="126"/>
      <c r="K9" s="112" t="s">
        <v>2</v>
      </c>
      <c r="L9" s="112"/>
      <c r="M9" s="239" t="s">
        <v>0</v>
      </c>
      <c r="N9" s="239" t="s">
        <v>1</v>
      </c>
      <c r="O9" s="44"/>
      <c r="P9" s="85">
        <v>4</v>
      </c>
      <c r="Q9" s="97" t="str">
        <f>+'Parties groupes_V'!AU22</f>
        <v xml:space="preserve"> </v>
      </c>
      <c r="R9" s="98" t="str">
        <f>IF(ISNA(VLOOKUP(Q9,'Parties groupes_V'!$BB$19:$BC$24,2,0)),"",VLOOKUP(Q9,'Parties groupes_V'!$BB$19:$BC$24,2,0))</f>
        <v/>
      </c>
      <c r="S9" s="85"/>
      <c r="T9" s="114" t="str">
        <f t="shared" si="0"/>
        <v xml:space="preserve"> </v>
      </c>
      <c r="U9" s="115">
        <f>SUM(IFERROR(VLOOKUP(T9,$T$7:$V$15,3,0),0),IFERROR(VLOOKUP(T9,'[1]1A_G'!$R$7:$V$25,2,0),0))</f>
        <v>1</v>
      </c>
      <c r="V9" s="116">
        <f t="array" ref="V9">IF(OR(C9:C10="OFFICE"),0,IF(D9&gt;D10,1,0))</f>
        <v>1</v>
      </c>
      <c r="W9" s="186">
        <f t="shared" si="1"/>
        <v>4</v>
      </c>
      <c r="X9" s="117" t="str">
        <f>+H8</f>
        <v xml:space="preserve"> </v>
      </c>
      <c r="Y9" s="118">
        <f>SUM(IFERROR(VLOOKUP(X9,$X$7:$Z$15,3,0),0),IFERROR(VLOOKUP(X9,'[2]Parties groupe'!BB6:BC28,2,0),0))</f>
        <v>1</v>
      </c>
      <c r="Z9" s="116">
        <f t="array" ref="Z9">IF(OR(H7:H8="OFFICE"),0,IF(I7&lt;I8,1,0))</f>
        <v>0</v>
      </c>
      <c r="AA9" s="117">
        <f>Z9*8</f>
        <v>0</v>
      </c>
      <c r="AB9" s="119"/>
      <c r="AC9" s="120"/>
      <c r="AD9" s="121"/>
      <c r="AE9" s="85"/>
    </row>
    <row r="10" spans="1:32" ht="48.75" customHeight="1" thickBot="1">
      <c r="A10" s="540"/>
      <c r="B10" s="127" t="s">
        <v>46</v>
      </c>
      <c r="C10" s="128" t="str">
        <f>+'Parties groupes_V'!AU27</f>
        <v xml:space="preserve"> </v>
      </c>
      <c r="D10" s="129">
        <v>4</v>
      </c>
      <c r="E10" s="51"/>
      <c r="F10" s="52"/>
      <c r="G10" s="130"/>
      <c r="H10" s="56"/>
      <c r="I10" s="126"/>
      <c r="J10" s="56"/>
      <c r="K10" s="535"/>
      <c r="L10" s="91" t="s">
        <v>42</v>
      </c>
      <c r="M10" s="94" t="str">
        <f>IF(I8=I7," ",IF(I7&gt;I8,H7,H8))</f>
        <v xml:space="preserve"> </v>
      </c>
      <c r="N10" s="95">
        <v>3</v>
      </c>
      <c r="O10" s="44"/>
      <c r="P10" s="85">
        <v>4</v>
      </c>
      <c r="Q10" s="97" t="str">
        <f>+'Parties groupes_V'!AU28</f>
        <v xml:space="preserve"> </v>
      </c>
      <c r="R10" s="98" t="str">
        <f>IF(ISNA(VLOOKUP(Q10,'Parties groupes_V'!$BB$25:$BC$30,2,0)),"",VLOOKUP(Q10,'Parties groupes_V'!$BB$25:$BC$30,2,0))</f>
        <v/>
      </c>
      <c r="S10" s="85"/>
      <c r="T10" s="131" t="str">
        <f t="shared" si="0"/>
        <v xml:space="preserve"> </v>
      </c>
      <c r="U10" s="132">
        <f>SUM(IFERROR(VLOOKUP(T10,$T$7:$V$15,3,0),0),IFERROR(VLOOKUP(T10,'[1]1A_G'!$R$7:$V$25,2,0),0))</f>
        <v>1</v>
      </c>
      <c r="V10" s="133">
        <f t="array" ref="V10">IF(OR(C9:C10="OFFICE"),0,IF(D9&lt;D10,1,0))</f>
        <v>0</v>
      </c>
      <c r="W10" s="186">
        <f t="shared" si="1"/>
        <v>0</v>
      </c>
      <c r="X10" s="134"/>
      <c r="Y10" s="135"/>
      <c r="Z10" s="136"/>
      <c r="AA10" s="134"/>
      <c r="AB10" s="137" t="str">
        <f>+M10</f>
        <v xml:space="preserve"> </v>
      </c>
      <c r="AC10" s="138">
        <f>SUM(IFERROR(VLOOKUP(AB10,$X$8:$Y$13,2,0),0),IFERROR(VLOOKUP(AB10,$AB$10:$AD$11,3,0),0))</f>
        <v>2</v>
      </c>
      <c r="AD10" s="139">
        <f t="array" ref="AD10">IF(OR(M10:M11="OFFICE"),0,IF(N10&gt;N11,1,0))</f>
        <v>1</v>
      </c>
      <c r="AE10" s="139">
        <f>AD10*8</f>
        <v>8</v>
      </c>
    </row>
    <row r="11" spans="1:32" ht="48.75" customHeight="1" thickTop="1" thickBot="1">
      <c r="A11" s="541"/>
      <c r="B11" s="140" t="s">
        <v>47</v>
      </c>
      <c r="C11" s="141" t="str">
        <f>+'Parties groupes_V'!AU9</f>
        <v xml:space="preserve"> </v>
      </c>
      <c r="D11" s="142">
        <v>8</v>
      </c>
      <c r="E11" s="48"/>
      <c r="F11" s="537" t="s">
        <v>48</v>
      </c>
      <c r="G11" s="538"/>
      <c r="H11" s="538"/>
      <c r="I11" s="539"/>
      <c r="J11" s="56"/>
      <c r="K11" s="536"/>
      <c r="L11" s="107" t="s">
        <v>44</v>
      </c>
      <c r="M11" s="108" t="str">
        <f>IF(I14=I13," ",IF(I13&gt;I14,H13,H14))</f>
        <v xml:space="preserve"> </v>
      </c>
      <c r="N11" s="111">
        <v>1</v>
      </c>
      <c r="O11" s="44"/>
      <c r="P11" s="85"/>
      <c r="Q11" s="85"/>
      <c r="R11" s="85"/>
      <c r="S11" s="85"/>
      <c r="T11" s="99" t="str">
        <f t="shared" si="0"/>
        <v xml:space="preserve"> </v>
      </c>
      <c r="U11" s="143">
        <f>SUM(IFERROR(VLOOKUP(T11,$T$7:$V$15,3,0),0),IFERROR(VLOOKUP(T11,'[1]1A_G'!$R$7:$V$25,2,0),0))</f>
        <v>1</v>
      </c>
      <c r="V11" s="101">
        <f t="array" ref="V11">IF(OR(C11:C12="OFFICE"),0,IF(D11&gt;D12,1,0))</f>
        <v>0</v>
      </c>
      <c r="W11" s="185">
        <f t="shared" si="1"/>
        <v>0</v>
      </c>
      <c r="X11" s="102"/>
      <c r="Y11" s="144"/>
      <c r="Z11" s="104"/>
      <c r="AA11" s="102"/>
      <c r="AB11" s="145" t="str">
        <f>+M11</f>
        <v xml:space="preserve"> </v>
      </c>
      <c r="AC11" s="138">
        <f>SUM(IFERROR(VLOOKUP(AB11,$X$8:$Y$13,2,0),0),IFERROR(VLOOKUP(AB11,$AB$10:$AD$11,3,0),0))</f>
        <v>2</v>
      </c>
      <c r="AD11" s="146">
        <f t="array" ref="AD11">IF(OR(M10:M11="OFFICE"),0,IF(N10&lt;N11,1,0))</f>
        <v>0</v>
      </c>
      <c r="AE11" s="139">
        <f>AD11*8</f>
        <v>0</v>
      </c>
    </row>
    <row r="12" spans="1:32" ht="48.75" customHeight="1" thickBot="1">
      <c r="A12" s="536"/>
      <c r="B12" s="107" t="s">
        <v>49</v>
      </c>
      <c r="C12" s="147" t="str">
        <f>+'Parties groupes_V'!AU14</f>
        <v xml:space="preserve"> </v>
      </c>
      <c r="D12" s="109">
        <v>9</v>
      </c>
      <c r="E12" s="48"/>
      <c r="F12" s="57"/>
      <c r="G12" s="148"/>
      <c r="H12" s="149"/>
      <c r="I12" s="150"/>
      <c r="J12" s="126"/>
      <c r="K12" s="52"/>
      <c r="L12" s="130"/>
      <c r="M12" s="151"/>
      <c r="N12" s="126"/>
      <c r="O12" s="44"/>
      <c r="P12" s="85"/>
      <c r="Q12" s="85"/>
      <c r="R12" s="85"/>
      <c r="S12" s="85"/>
      <c r="T12" s="114" t="str">
        <f t="shared" si="0"/>
        <v xml:space="preserve"> </v>
      </c>
      <c r="U12" s="115">
        <f>SUM(IFERROR(VLOOKUP(T12,$T$7:$V$15,3,0),0),IFERROR(VLOOKUP(T12,'[1]1A_G'!$R$7:$V$25,2,0),0))</f>
        <v>1</v>
      </c>
      <c r="V12" s="116">
        <f t="array" ref="V12">IF(OR(C11:C12="OFFICE"),0,IF(D11&lt;D12,1,0))</f>
        <v>1</v>
      </c>
      <c r="W12" s="185">
        <f t="shared" si="1"/>
        <v>4</v>
      </c>
      <c r="X12" s="117" t="str">
        <f>+H13</f>
        <v xml:space="preserve"> </v>
      </c>
      <c r="Y12" s="118">
        <f>SUM(IFERROR(VLOOKUP(X12,$X$7:$Z$15,3,0),0),IFERROR(VLOOKUP(X12,'[3]1A_G'!$R$7:$V$25,2,0),0))</f>
        <v>1</v>
      </c>
      <c r="Z12" s="116">
        <f t="array" ref="Z12">IF(OR(H13:H14="OFFICE"),0,IF(I13&gt;I14,1,0))</f>
        <v>1</v>
      </c>
      <c r="AA12" s="117">
        <f>Z12*8</f>
        <v>8</v>
      </c>
      <c r="AB12" s="119"/>
      <c r="AC12" s="120"/>
      <c r="AD12" s="121"/>
      <c r="AE12" s="85"/>
    </row>
    <row r="13" spans="1:32" ht="48.75" customHeight="1" thickBot="1">
      <c r="A13" s="535"/>
      <c r="B13" s="91" t="s">
        <v>50</v>
      </c>
      <c r="C13" s="152" t="str">
        <f>+'Parties groupes_V'!AU21</f>
        <v xml:space="preserve"> </v>
      </c>
      <c r="D13" s="93">
        <v>0</v>
      </c>
      <c r="E13" s="48"/>
      <c r="F13" s="535"/>
      <c r="G13" s="91" t="s">
        <v>50</v>
      </c>
      <c r="H13" s="94" t="str">
        <f>+'Parties groupes_V'!AU19</f>
        <v xml:space="preserve"> </v>
      </c>
      <c r="I13" s="95">
        <v>13</v>
      </c>
      <c r="J13" s="126"/>
      <c r="K13" s="52"/>
      <c r="L13" s="130"/>
      <c r="M13" s="56"/>
      <c r="N13" s="126"/>
      <c r="O13" s="44"/>
      <c r="P13" s="44"/>
      <c r="Q13" s="515" t="s">
        <v>81</v>
      </c>
      <c r="R13" s="516"/>
      <c r="S13" s="85"/>
      <c r="T13" s="114" t="str">
        <f t="shared" si="0"/>
        <v xml:space="preserve"> </v>
      </c>
      <c r="U13" s="115">
        <f>SUM(IFERROR(VLOOKUP(T13,$T$7:$V$15,3,0),0),IFERROR(VLOOKUP(T13,'[1]1A_G'!$R$7:$V$25,2,0),0))</f>
        <v>1</v>
      </c>
      <c r="V13" s="116">
        <f t="array" ref="V13">IF(OR(C13:C14="OFFICE"),0,IF(D13&gt;D14,1,0))</f>
        <v>0</v>
      </c>
      <c r="W13" s="185">
        <f t="shared" si="1"/>
        <v>0</v>
      </c>
      <c r="X13" s="117" t="str">
        <f>+H14</f>
        <v xml:space="preserve"> </v>
      </c>
      <c r="Y13" s="118">
        <f>SUM(IFERROR(VLOOKUP(X13,$X$7:$Z$15,3,0),0),IFERROR(VLOOKUP(X13,'[3]1A_G'!$R$7:$V$25,2,0),0))</f>
        <v>1</v>
      </c>
      <c r="Z13" s="116">
        <f t="array" ref="Z13">IF(OR(H13:H14="OFFICE"),0,IF(I13&lt;I14,1,0))</f>
        <v>0</v>
      </c>
      <c r="AA13" s="117">
        <f>Z13*8</f>
        <v>0</v>
      </c>
      <c r="AB13" s="119"/>
      <c r="AC13" s="120"/>
      <c r="AD13" s="121"/>
      <c r="AE13" s="85"/>
    </row>
    <row r="14" spans="1:32" ht="48.75" customHeight="1" thickBot="1">
      <c r="A14" s="536"/>
      <c r="B14" s="107" t="s">
        <v>51</v>
      </c>
      <c r="C14" s="153" t="str">
        <f>+'Parties groupes_V'!AU26</f>
        <v xml:space="preserve"> </v>
      </c>
      <c r="D14" s="109">
        <v>13</v>
      </c>
      <c r="E14" s="43"/>
      <c r="F14" s="536"/>
      <c r="G14" s="107" t="s">
        <v>51</v>
      </c>
      <c r="H14" s="108" t="str">
        <f>+'Parties groupes_V'!AU25</f>
        <v xml:space="preserve"> </v>
      </c>
      <c r="I14" s="111">
        <v>8</v>
      </c>
      <c r="J14" s="126"/>
      <c r="K14" s="52"/>
      <c r="L14" s="130"/>
      <c r="M14" s="154"/>
      <c r="N14" s="154"/>
      <c r="P14" s="47"/>
      <c r="Q14" s="47"/>
      <c r="R14" s="47"/>
      <c r="S14" s="85"/>
      <c r="T14" s="155" t="str">
        <f t="shared" si="0"/>
        <v xml:space="preserve"> </v>
      </c>
      <c r="U14" s="132">
        <f>SUM(IFERROR(VLOOKUP(T14,$T$7:$V$15,3,0),0),IFERROR(VLOOKUP(T14,'[1]1A_G'!$R$7:$V$25,2,0),0))</f>
        <v>1</v>
      </c>
      <c r="V14" s="156">
        <f t="array" ref="V14">IF(OR(C13:C14="OFFICE"),0,IF(D13&lt;D14,1,0))</f>
        <v>1</v>
      </c>
      <c r="W14" s="185">
        <f t="shared" si="1"/>
        <v>4</v>
      </c>
      <c r="X14" s="157"/>
      <c r="Y14" s="158"/>
      <c r="Z14" s="159"/>
      <c r="AA14" s="157"/>
      <c r="AB14" s="160"/>
      <c r="AC14" s="158"/>
      <c r="AD14" s="161"/>
      <c r="AE14" s="85"/>
    </row>
    <row r="15" spans="1:32" ht="48.75" customHeight="1">
      <c r="A15" s="48"/>
      <c r="B15" s="53"/>
      <c r="C15" s="58"/>
      <c r="D15" s="59"/>
      <c r="E15" s="48"/>
      <c r="F15" s="48"/>
      <c r="G15" s="53"/>
      <c r="H15" s="54"/>
      <c r="I15" s="55"/>
      <c r="J15" s="50"/>
      <c r="K15" s="48"/>
      <c r="L15" s="53"/>
      <c r="M15" s="54"/>
      <c r="N15" s="55"/>
      <c r="O15" s="47"/>
      <c r="P15" s="85"/>
      <c r="Q15" s="85"/>
      <c r="R15" s="84" t="s">
        <v>74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2" ht="48.75" customHeight="1">
      <c r="A16" s="48"/>
      <c r="B16" s="162"/>
      <c r="C16" s="163"/>
      <c r="D16" s="79"/>
      <c r="E16" s="48"/>
      <c r="F16" s="48"/>
      <c r="G16" s="162"/>
      <c r="H16" s="163"/>
      <c r="I16" s="79"/>
      <c r="J16" s="44"/>
      <c r="K16" s="45"/>
      <c r="L16" s="44"/>
      <c r="M16" s="44"/>
      <c r="N16" s="44"/>
      <c r="O16" s="44"/>
      <c r="P16" s="85">
        <v>5</v>
      </c>
      <c r="Q16" s="97" t="str">
        <f>+'Parties groupes_V'!AU11</f>
        <v xml:space="preserve"> </v>
      </c>
      <c r="R16" s="98" t="str">
        <f>IF(ISNA(VLOOKUP(Q16,'Parties groupes_V'!$BB$7:$BC$11,2,0)),"",VLOOKUP(Q16,'Parties groupes_V'!$BB$7:$BC$11,2,0))</f>
        <v/>
      </c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2" ht="48.75" customHeight="1">
      <c r="O17" s="44"/>
      <c r="P17" s="85">
        <v>5</v>
      </c>
      <c r="Q17" s="97" t="str">
        <f>+'Parties groupes_V'!AU17</f>
        <v xml:space="preserve"> </v>
      </c>
      <c r="R17" s="98" t="str">
        <f>IF(ISNA(VLOOKUP(Q17,'Parties groupes_V'!$BB$13:$BC$17,2,0)),"",VLOOKUP(Q17,'Parties groupes_V'!$BB$13:$BC$17,2,0))</f>
        <v/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ht="48.75" customHeight="1">
      <c r="P18" s="85">
        <v>5</v>
      </c>
      <c r="Q18" s="97" t="str">
        <f>+'Parties groupes_V'!AU23</f>
        <v xml:space="preserve"> </v>
      </c>
      <c r="R18" s="98" t="str">
        <f>IF(ISNA(VLOOKUP(Q18,'Parties groupes_V'!$BB$19:$BC$24,2,0)),"",VLOOKUP(Q18,'Parties groupes_V'!$BB$19:$BC$24,2,0))</f>
        <v/>
      </c>
    </row>
    <row r="19" spans="1:32" ht="48.75" customHeight="1">
      <c r="P19" s="85">
        <v>5</v>
      </c>
      <c r="Q19" s="97" t="str">
        <f>+'Parties groupes_V'!AU29</f>
        <v xml:space="preserve"> </v>
      </c>
      <c r="R19" s="98" t="str">
        <f>IF(ISNA(VLOOKUP(Q19,'Parties groupes_V'!$BB$25:$BC$30,2,0)),"",VLOOKUP(Q19,'Parties groupes_V'!$BB$25:$BC$30,2,0))</f>
        <v/>
      </c>
    </row>
    <row r="22" spans="1:32" ht="48.75" customHeight="1">
      <c r="Q22" s="514" t="s">
        <v>70</v>
      </c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</row>
    <row r="23" spans="1:32" ht="48.75" customHeight="1" thickBot="1">
      <c r="A23" s="45"/>
      <c r="B23" s="4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2" ht="48.75" customHeight="1" thickBot="1">
      <c r="A24" s="529" t="s">
        <v>40</v>
      </c>
      <c r="B24" s="530"/>
      <c r="C24" s="530"/>
      <c r="D24" s="531"/>
      <c r="E24" s="45"/>
      <c r="F24" s="532" t="s">
        <v>41</v>
      </c>
      <c r="G24" s="533"/>
      <c r="H24" s="533"/>
      <c r="I24" s="534"/>
      <c r="J24" s="44"/>
      <c r="K24" s="45"/>
      <c r="L24" s="44"/>
      <c r="M24" s="44"/>
      <c r="N24" s="44"/>
      <c r="O24" s="44"/>
      <c r="P24" s="44"/>
      <c r="Q24" s="515" t="s">
        <v>71</v>
      </c>
      <c r="R24" s="516"/>
      <c r="S24" s="85"/>
      <c r="T24" s="85"/>
      <c r="U24" s="86" t="s">
        <v>72</v>
      </c>
      <c r="V24" s="87"/>
      <c r="W24" s="184"/>
      <c r="X24" s="85"/>
      <c r="Y24" s="86" t="s">
        <v>73</v>
      </c>
      <c r="Z24" s="377"/>
      <c r="AA24" s="187"/>
      <c r="AB24" s="85"/>
      <c r="AC24" s="86" t="s">
        <v>43</v>
      </c>
      <c r="AD24" s="187"/>
    </row>
    <row r="25" spans="1:32" ht="48.75" customHeight="1">
      <c r="A25" s="46"/>
      <c r="B25" s="46"/>
      <c r="C25" s="46"/>
      <c r="D25" s="46"/>
      <c r="E25" s="45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4"/>
      <c r="W25" s="44"/>
      <c r="X25" s="44"/>
      <c r="Y25" s="44"/>
      <c r="Z25" s="44"/>
      <c r="AA25" s="44"/>
      <c r="AB25" s="44"/>
      <c r="AC25" s="44"/>
      <c r="AD25" s="44"/>
    </row>
    <row r="26" spans="1:32" ht="48.75" customHeight="1" thickBot="1">
      <c r="A26" s="112" t="s">
        <v>2</v>
      </c>
      <c r="B26" s="112"/>
      <c r="C26" s="239" t="s">
        <v>0</v>
      </c>
      <c r="D26" s="239" t="s">
        <v>1</v>
      </c>
      <c r="E26" s="112"/>
      <c r="F26" s="112" t="s">
        <v>2</v>
      </c>
      <c r="G26" s="112"/>
      <c r="H26" s="239" t="s">
        <v>0</v>
      </c>
      <c r="I26" s="239" t="s">
        <v>1</v>
      </c>
      <c r="J26" s="44"/>
      <c r="K26" s="45"/>
      <c r="L26" s="44"/>
      <c r="M26" s="44"/>
      <c r="N26" s="44"/>
      <c r="O26" s="44"/>
      <c r="P26" s="85"/>
      <c r="Q26" s="85"/>
      <c r="R26" s="84" t="s">
        <v>74</v>
      </c>
      <c r="S26" s="85"/>
      <c r="T26" s="85"/>
      <c r="U26" s="84" t="s">
        <v>74</v>
      </c>
      <c r="V26" s="89" t="s">
        <v>75</v>
      </c>
      <c r="W26" s="89" t="s">
        <v>83</v>
      </c>
      <c r="X26" s="89" t="s">
        <v>139</v>
      </c>
      <c r="Y26" s="90" t="s">
        <v>57</v>
      </c>
      <c r="Z26" s="89" t="s">
        <v>73</v>
      </c>
      <c r="AA26" s="89" t="s">
        <v>83</v>
      </c>
      <c r="AB26" s="85" t="s">
        <v>43</v>
      </c>
      <c r="AC26" s="90" t="s">
        <v>57</v>
      </c>
      <c r="AD26" s="90" t="s">
        <v>20</v>
      </c>
      <c r="AE26" s="89" t="s">
        <v>83</v>
      </c>
    </row>
    <row r="27" spans="1:32" ht="48.75" customHeight="1" thickBot="1">
      <c r="A27" s="535"/>
      <c r="B27" s="91" t="s">
        <v>42</v>
      </c>
      <c r="C27" s="92" t="str">
        <f>+'Parties groupes_V'!AU36</f>
        <v xml:space="preserve"> </v>
      </c>
      <c r="D27" s="93">
        <v>8</v>
      </c>
      <c r="E27" s="48"/>
      <c r="F27" s="535"/>
      <c r="G27" s="91" t="s">
        <v>42</v>
      </c>
      <c r="H27" s="94" t="str">
        <f>+'Parties groupes_V'!AU35</f>
        <v xml:space="preserve"> </v>
      </c>
      <c r="I27" s="95">
        <v>10</v>
      </c>
      <c r="J27" s="96"/>
      <c r="K27" s="537" t="s">
        <v>43</v>
      </c>
      <c r="L27" s="538"/>
      <c r="M27" s="538"/>
      <c r="N27" s="539"/>
      <c r="O27" s="44"/>
      <c r="P27" s="85">
        <v>4</v>
      </c>
      <c r="Q27" s="97" t="str">
        <f>+'Parties groupes_V'!AU38</f>
        <v xml:space="preserve"> </v>
      </c>
      <c r="R27" s="98" t="str">
        <f>IF(ISNA(VLOOKUP(Q27,'Parties groupes_V'!$BB$36:$BC$40,2,0)),"",VLOOKUP(Q27,'Parties groupes_V'!$BB$36:$BC$40,2,0))</f>
        <v/>
      </c>
      <c r="S27" s="85"/>
      <c r="T27" s="99" t="str">
        <f t="shared" ref="T27:T34" si="2">+C27</f>
        <v xml:space="preserve"> </v>
      </c>
      <c r="U27" s="100">
        <f>SUM(IFERROR(VLOOKUP(T27,$T$7:$V$15,3,0),0),IFERROR(VLOOKUP(T27,'[1]1A_G'!$R$7:$V$25,2,0),0))</f>
        <v>1</v>
      </c>
      <c r="V27" s="101">
        <f t="array" ref="V27">IF(OR(C27:C28="OFFICE"),0,IF(D27&gt;D28,1,0))</f>
        <v>1</v>
      </c>
      <c r="W27" s="186">
        <f t="shared" ref="W27:W34" si="3">V27*4</f>
        <v>4</v>
      </c>
      <c r="X27" s="102"/>
      <c r="Y27" s="103"/>
      <c r="Z27" s="104"/>
      <c r="AA27" s="102"/>
      <c r="AB27" s="105"/>
      <c r="AC27" s="103"/>
      <c r="AD27" s="429"/>
    </row>
    <row r="28" spans="1:32" ht="48.75" customHeight="1" thickBot="1">
      <c r="A28" s="536"/>
      <c r="B28" s="107" t="s">
        <v>44</v>
      </c>
      <c r="C28" s="108" t="str">
        <f>+'Parties groupes_V'!AU43</f>
        <v xml:space="preserve"> </v>
      </c>
      <c r="D28" s="109">
        <v>7</v>
      </c>
      <c r="E28" s="48"/>
      <c r="F28" s="536"/>
      <c r="G28" s="107" t="s">
        <v>44</v>
      </c>
      <c r="H28" s="110" t="str">
        <f>+'Parties groupes_V'!AU41</f>
        <v xml:space="preserve"> </v>
      </c>
      <c r="I28" s="111">
        <v>9</v>
      </c>
      <c r="J28" s="96"/>
      <c r="K28" s="112"/>
      <c r="L28" s="113"/>
      <c r="M28" s="113"/>
      <c r="N28" s="113"/>
      <c r="O28" s="44"/>
      <c r="P28" s="85">
        <v>4</v>
      </c>
      <c r="Q28" s="97" t="str">
        <f>+'Parties groupes_V'!AU44</f>
        <v xml:space="preserve"> </v>
      </c>
      <c r="R28" s="98" t="str">
        <f>IF(ISNA(VLOOKUP(Q28,'Parties groupes_V'!$BB$41:$BC$45,2,0)),"",VLOOKUP(Q28,'Parties groupes_V'!$BB$41:$BC$45,2,0))</f>
        <v/>
      </c>
      <c r="S28" s="85"/>
      <c r="T28" s="114" t="str">
        <f t="shared" si="2"/>
        <v xml:space="preserve"> </v>
      </c>
      <c r="U28" s="115">
        <f>SUM(IFERROR(VLOOKUP(T28,$T$7:$V$15,3,0),0),IFERROR(VLOOKUP(T28,'[1]1A_G'!$R$7:$V$25,2,0),0))</f>
        <v>1</v>
      </c>
      <c r="V28" s="116">
        <f t="array" ref="V28">IF(OR(C27:C28="OFFICE"),0,IF(D27&lt;D28,1,0))</f>
        <v>0</v>
      </c>
      <c r="W28" s="186">
        <f t="shared" si="3"/>
        <v>0</v>
      </c>
      <c r="X28" s="117" t="str">
        <f>+H27</f>
        <v xml:space="preserve"> </v>
      </c>
      <c r="Y28" s="118">
        <f>SUM(IFERROR(VLOOKUP(X28,$X$7:$UA$15,3,0),0),IFERROR(VLOOKUP(X28,'Parties groupes_V'!$BB27:BC49,2,0),0))</f>
        <v>1</v>
      </c>
      <c r="Z28" s="116">
        <f t="array" ref="Z28">IF(OR(H27:H28="OFFICE"),0,IF(I27&gt;I28,1,0))</f>
        <v>1</v>
      </c>
      <c r="AA28" s="117">
        <f>Z28*8</f>
        <v>8</v>
      </c>
      <c r="AB28" s="119"/>
      <c r="AC28" s="120"/>
      <c r="AD28" s="429"/>
    </row>
    <row r="29" spans="1:32" ht="48.75" customHeight="1" thickBot="1">
      <c r="A29" s="535"/>
      <c r="B29" s="91" t="s">
        <v>45</v>
      </c>
      <c r="C29" s="122" t="str">
        <f>+'Parties groupes_V'!AU42</f>
        <v xml:space="preserve"> </v>
      </c>
      <c r="D29" s="93">
        <v>5</v>
      </c>
      <c r="E29" s="48"/>
      <c r="F29" s="49"/>
      <c r="G29" s="123"/>
      <c r="H29" s="124"/>
      <c r="I29" s="125"/>
      <c r="J29" s="126"/>
      <c r="K29" s="112" t="s">
        <v>2</v>
      </c>
      <c r="L29" s="112"/>
      <c r="M29" s="239" t="s">
        <v>0</v>
      </c>
      <c r="N29" s="239" t="s">
        <v>1</v>
      </c>
      <c r="O29" s="44"/>
      <c r="P29" s="85">
        <v>4</v>
      </c>
      <c r="Q29" s="97" t="str">
        <f>+'Parties groupes_V'!AU50</f>
        <v xml:space="preserve"> </v>
      </c>
      <c r="R29" s="98" t="str">
        <f>IF(ISNA(VLOOKUP(Q29,'Parties groupes_V'!$BB$42:$BC$51,2,0)),"",VLOOKUP(Q29,'Parties groupes_V'!$BB$42:$BC$51,2,0))</f>
        <v/>
      </c>
      <c r="S29" s="85"/>
      <c r="T29" s="114" t="str">
        <f t="shared" si="2"/>
        <v xml:space="preserve"> </v>
      </c>
      <c r="U29" s="115">
        <f>SUM(IFERROR(VLOOKUP(T29,$T$7:$V$15,3,0),0),IFERROR(VLOOKUP(T29,'[1]1A_G'!$R$7:$V$25,2,0),0))</f>
        <v>1</v>
      </c>
      <c r="V29" s="116">
        <f t="array" ref="V29">IF(OR(C29:C30="OFFICE"),0,IF(D29&gt;D30,1,0))</f>
        <v>1</v>
      </c>
      <c r="W29" s="186">
        <f t="shared" si="3"/>
        <v>4</v>
      </c>
      <c r="X29" s="117" t="str">
        <f>+H28</f>
        <v xml:space="preserve"> </v>
      </c>
      <c r="Y29" s="118">
        <f>SUM(IFERROR(VLOOKUP(X29,$X$7:$Z$15,3,0),0),IFERROR(VLOOKUP(X29,'[2]Parties groupe'!BB26:BC48,2,0),0))</f>
        <v>1</v>
      </c>
      <c r="Z29" s="116">
        <f t="array" ref="Z29">IF(OR(H27:H28="OFFICE"),0,IF(I27&lt;I28,1,0))</f>
        <v>0</v>
      </c>
      <c r="AA29" s="117">
        <f>Z29*8</f>
        <v>0</v>
      </c>
      <c r="AB29" s="119"/>
      <c r="AC29" s="120"/>
      <c r="AD29" s="429"/>
      <c r="AE29" s="85"/>
    </row>
    <row r="30" spans="1:32" ht="48.75" customHeight="1" thickBot="1">
      <c r="A30" s="540"/>
      <c r="B30" s="127" t="s">
        <v>46</v>
      </c>
      <c r="C30" s="128" t="str">
        <f>+'Parties groupes_V'!AU49</f>
        <v xml:space="preserve"> </v>
      </c>
      <c r="D30" s="129">
        <v>4</v>
      </c>
      <c r="E30" s="51"/>
      <c r="F30" s="52"/>
      <c r="G30" s="130"/>
      <c r="H30" s="56"/>
      <c r="I30" s="126"/>
      <c r="J30" s="56"/>
      <c r="K30" s="535"/>
      <c r="L30" s="91" t="s">
        <v>42</v>
      </c>
      <c r="M30" s="94" t="str">
        <f>IF(I28=I27," ",IF(I27&gt;I28,H27,H28))</f>
        <v xml:space="preserve"> </v>
      </c>
      <c r="N30" s="95">
        <v>3</v>
      </c>
      <c r="O30" s="44"/>
      <c r="P30" s="85">
        <v>4</v>
      </c>
      <c r="Q30" s="97" t="str">
        <f>+'Parties groupes_V'!AU56</f>
        <v xml:space="preserve"> </v>
      </c>
      <c r="R30" s="98" t="str">
        <f>IF(ISNA(VLOOKUP(Q30,'Parties groupes_V'!$BB$53:$BC$57,2,0)),"",VLOOKUP(Q30,'Parties groupes_V'!$BB$53:$BC$57,2,0))</f>
        <v/>
      </c>
      <c r="S30" s="85"/>
      <c r="T30" s="131" t="str">
        <f t="shared" si="2"/>
        <v xml:space="preserve"> </v>
      </c>
      <c r="U30" s="132">
        <f>SUM(IFERROR(VLOOKUP(T30,$T$7:$V$15,3,0),0),IFERROR(VLOOKUP(T30,'[1]1A_G'!$R$7:$V$25,2,0),0))</f>
        <v>1</v>
      </c>
      <c r="V30" s="133">
        <f t="array" ref="V30">IF(OR(C29:C30="OFFICE"),0,IF(D29&lt;D30,1,0))</f>
        <v>0</v>
      </c>
      <c r="W30" s="186">
        <f t="shared" si="3"/>
        <v>0</v>
      </c>
      <c r="X30" s="134"/>
      <c r="Y30" s="135"/>
      <c r="Z30" s="136"/>
      <c r="AA30" s="134"/>
      <c r="AB30" s="137" t="str">
        <f>+M30</f>
        <v xml:space="preserve"> </v>
      </c>
      <c r="AC30" s="138">
        <f>SUM(IFERROR(VLOOKUP(AB30,$X$27:$Y$34,2,0),0),IFERROR(VLOOKUP(AB30,$AB$30:$AD$31,3,0),0))</f>
        <v>1</v>
      </c>
      <c r="AD30" s="428">
        <f t="array" ref="AD30">IF(OR(M30:M31="OFFICE"),0,IF(N30&gt;N31,1,0))</f>
        <v>0</v>
      </c>
      <c r="AE30" s="139">
        <f>AD30*8</f>
        <v>0</v>
      </c>
    </row>
    <row r="31" spans="1:32" ht="48.75" customHeight="1" thickTop="1" thickBot="1">
      <c r="A31" s="541"/>
      <c r="B31" s="140" t="s">
        <v>47</v>
      </c>
      <c r="C31" s="141" t="str">
        <f>+'Parties groupes_V'!AU48</f>
        <v xml:space="preserve"> </v>
      </c>
      <c r="D31" s="142">
        <v>8</v>
      </c>
      <c r="E31" s="48"/>
      <c r="F31" s="537" t="s">
        <v>48</v>
      </c>
      <c r="G31" s="538"/>
      <c r="H31" s="538"/>
      <c r="I31" s="539"/>
      <c r="J31" s="56"/>
      <c r="K31" s="536"/>
      <c r="L31" s="107" t="s">
        <v>44</v>
      </c>
      <c r="M31" s="108" t="str">
        <f>IF(I34=I33," ",IF(I33&gt;I34,H33,H34))</f>
        <v xml:space="preserve"> </v>
      </c>
      <c r="N31" s="111">
        <v>13</v>
      </c>
      <c r="O31" s="44"/>
      <c r="P31" s="85"/>
      <c r="Q31" s="85"/>
      <c r="R31" s="85"/>
      <c r="S31" s="85"/>
      <c r="T31" s="99" t="str">
        <f t="shared" si="2"/>
        <v xml:space="preserve"> </v>
      </c>
      <c r="U31" s="143">
        <f>SUM(IFERROR(VLOOKUP(T31,$T$7:$V$15,3,0),0),IFERROR(VLOOKUP(T31,'[1]1A_G'!$R$7:$V$25,2,0),0))</f>
        <v>1</v>
      </c>
      <c r="V31" s="101">
        <f t="array" ref="V31">IF(OR(C31:C32="OFFICE"),0,IF(D31&gt;D32,1,0))</f>
        <v>0</v>
      </c>
      <c r="W31" s="185">
        <f t="shared" si="3"/>
        <v>0</v>
      </c>
      <c r="X31" s="102"/>
      <c r="Y31" s="144"/>
      <c r="Z31" s="104"/>
      <c r="AA31" s="102"/>
      <c r="AB31" s="145" t="str">
        <f>+M31</f>
        <v xml:space="preserve"> </v>
      </c>
      <c r="AC31" s="138">
        <f>SUM(IFERROR(VLOOKUP(AB31,$X$27:$Y$34,2,0),0),IFERROR(VLOOKUP(AB31,$AB$30:$AD$31,3,0),0))</f>
        <v>1</v>
      </c>
      <c r="AD31" s="428">
        <f>IF(OR(M30:M31="OFFICE"),0,IF(N30&lt;N31,1,0))</f>
        <v>1</v>
      </c>
      <c r="AE31" s="139">
        <f>AD31*8</f>
        <v>8</v>
      </c>
    </row>
    <row r="32" spans="1:32" ht="48.75" customHeight="1" thickBot="1">
      <c r="A32" s="536"/>
      <c r="B32" s="107" t="s">
        <v>49</v>
      </c>
      <c r="C32" s="147" t="str">
        <f>+'Parties groupes_V'!AU55</f>
        <v xml:space="preserve"> </v>
      </c>
      <c r="D32" s="109">
        <v>9</v>
      </c>
      <c r="E32" s="48"/>
      <c r="F32" s="57"/>
      <c r="G32" s="148"/>
      <c r="H32" s="149"/>
      <c r="I32" s="150"/>
      <c r="J32" s="126"/>
      <c r="K32" s="52"/>
      <c r="L32" s="130"/>
      <c r="M32" s="151"/>
      <c r="N32" s="126"/>
      <c r="O32" s="44"/>
      <c r="P32" s="85"/>
      <c r="Q32" s="85"/>
      <c r="R32" s="85"/>
      <c r="S32" s="85"/>
      <c r="T32" s="114" t="str">
        <f t="shared" si="2"/>
        <v xml:space="preserve"> </v>
      </c>
      <c r="U32" s="115">
        <f>SUM(IFERROR(VLOOKUP(T32,$T$7:$V$15,3,0),0),IFERROR(VLOOKUP(T32,'[1]1A_G'!$R$7:$V$25,2,0),0))</f>
        <v>1</v>
      </c>
      <c r="V32" s="116">
        <f t="array" ref="V32">IF(OR(C31:C32="OFFICE"),0,IF(D31&lt;D32,1,0))</f>
        <v>1</v>
      </c>
      <c r="W32" s="185">
        <f t="shared" si="3"/>
        <v>4</v>
      </c>
      <c r="X32" s="117" t="str">
        <f>+H33</f>
        <v xml:space="preserve"> </v>
      </c>
      <c r="Y32" s="118">
        <f>SUM(IFERROR(VLOOKUP(X32,$X$7:$UA$15,3,0),0),IFERROR(VLOOKUP(X32,'[3]1A_G'!$R$7:$V$25,2,0),0))</f>
        <v>1</v>
      </c>
      <c r="Z32" s="116">
        <f t="array" ref="Z32">IF(OR(H33:H34="OFFICE"),0,IF(I33&gt;I34,1,0))</f>
        <v>1</v>
      </c>
      <c r="AA32" s="117">
        <f>Z32*8</f>
        <v>8</v>
      </c>
      <c r="AB32" s="119"/>
      <c r="AC32" s="120"/>
      <c r="AD32" s="429"/>
    </row>
    <row r="33" spans="1:30" ht="48.75" customHeight="1" thickBot="1">
      <c r="A33" s="535"/>
      <c r="B33" s="91" t="s">
        <v>50</v>
      </c>
      <c r="C33" s="152" t="str">
        <f>+'Parties groupes_V'!AU37</f>
        <v xml:space="preserve"> </v>
      </c>
      <c r="D33" s="93">
        <v>0</v>
      </c>
      <c r="E33" s="48"/>
      <c r="F33" s="535"/>
      <c r="G33" s="91" t="s">
        <v>50</v>
      </c>
      <c r="H33" s="94" t="str">
        <f>+'Parties groupes_V'!AU47</f>
        <v xml:space="preserve"> </v>
      </c>
      <c r="I33" s="95">
        <v>13</v>
      </c>
      <c r="J33" s="126"/>
      <c r="K33" s="52"/>
      <c r="L33" s="130"/>
      <c r="M33" s="56"/>
      <c r="N33" s="126"/>
      <c r="O33" s="44"/>
      <c r="P33" s="44"/>
      <c r="Q33" s="515" t="s">
        <v>81</v>
      </c>
      <c r="R33" s="516"/>
      <c r="S33" s="85"/>
      <c r="T33" s="114" t="str">
        <f t="shared" si="2"/>
        <v xml:space="preserve"> </v>
      </c>
      <c r="U33" s="115">
        <f>SUM(IFERROR(VLOOKUP(T33,$T$7:$V$15,3,0),0),IFERROR(VLOOKUP(T33,'[1]1A_G'!$R$7:$V$25,2,0),0))</f>
        <v>1</v>
      </c>
      <c r="V33" s="116">
        <f t="array" ref="V33">IF(OR(C33:C34="OFFICE"),0,IF(D33&gt;D34,1,0))</f>
        <v>0</v>
      </c>
      <c r="W33" s="185">
        <f t="shared" si="3"/>
        <v>0</v>
      </c>
      <c r="X33" s="117" t="str">
        <f>+H34</f>
        <v xml:space="preserve"> </v>
      </c>
      <c r="Y33" s="118">
        <f>SUM(IFERROR(VLOOKUP(X33,$X$7:$Z$15,3,0),0),IFERROR(VLOOKUP(X33,'[3]1A_G'!$R$7:$V$25,2,0),0))</f>
        <v>1</v>
      </c>
      <c r="Z33" s="116">
        <f t="array" ref="Z33">IF(OR(H33:H34="OFFICE"),0,IF(I33&lt;I34,1,0))</f>
        <v>0</v>
      </c>
      <c r="AA33" s="117">
        <f>Z33*8</f>
        <v>0</v>
      </c>
      <c r="AB33" s="119"/>
      <c r="AC33" s="120"/>
      <c r="AD33" s="429"/>
    </row>
    <row r="34" spans="1:30" ht="48.75" customHeight="1" thickBot="1">
      <c r="A34" s="536"/>
      <c r="B34" s="107" t="s">
        <v>51</v>
      </c>
      <c r="C34" s="153" t="str">
        <f>+'Parties groupes_V'!AU54</f>
        <v xml:space="preserve"> </v>
      </c>
      <c r="D34" s="109">
        <v>13</v>
      </c>
      <c r="E34" s="43"/>
      <c r="F34" s="536"/>
      <c r="G34" s="107" t="s">
        <v>51</v>
      </c>
      <c r="H34" s="108" t="str">
        <f>+'Parties groupes_V'!AU53</f>
        <v xml:space="preserve"> </v>
      </c>
      <c r="I34" s="111">
        <v>8</v>
      </c>
      <c r="J34" s="126"/>
      <c r="K34" s="52"/>
      <c r="L34" s="130"/>
      <c r="M34" s="154"/>
      <c r="N34" s="154"/>
      <c r="P34" s="47"/>
      <c r="Q34" s="47"/>
      <c r="R34" s="47"/>
      <c r="S34" s="85"/>
      <c r="T34" s="155" t="str">
        <f t="shared" si="2"/>
        <v xml:space="preserve"> </v>
      </c>
      <c r="U34" s="132">
        <f>SUM(IFERROR(VLOOKUP(T34,$T$7:$V$15,3,0),0),IFERROR(VLOOKUP(T34,'[1]1A_G'!$R$7:$V$25,2,0),0))</f>
        <v>1</v>
      </c>
      <c r="V34" s="156">
        <f t="array" ref="V34">IF(OR(C33:C34="OFFICE"),0,IF(D33&lt;D34,1,0))</f>
        <v>1</v>
      </c>
      <c r="W34" s="185">
        <f t="shared" si="3"/>
        <v>4</v>
      </c>
      <c r="X34" s="157"/>
      <c r="Y34" s="158"/>
      <c r="Z34" s="159"/>
      <c r="AA34" s="157"/>
      <c r="AB34" s="160"/>
      <c r="AC34" s="158"/>
      <c r="AD34" s="429"/>
    </row>
    <row r="35" spans="1:30" ht="48.75" customHeight="1">
      <c r="A35" s="48"/>
      <c r="B35" s="53"/>
      <c r="C35" s="58"/>
      <c r="D35" s="59"/>
      <c r="E35" s="48"/>
      <c r="F35" s="48"/>
      <c r="G35" s="53"/>
      <c r="H35" s="54"/>
      <c r="I35" s="55"/>
      <c r="J35" s="50"/>
      <c r="K35" s="48"/>
      <c r="L35" s="53"/>
      <c r="M35" s="54"/>
      <c r="N35" s="55"/>
      <c r="O35" s="47"/>
      <c r="P35" s="85"/>
      <c r="Q35" s="85"/>
      <c r="R35" s="84" t="s">
        <v>74</v>
      </c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</row>
    <row r="36" spans="1:30" ht="48.75" customHeight="1">
      <c r="A36" s="48"/>
      <c r="B36" s="162"/>
      <c r="C36" s="163"/>
      <c r="D36" s="79"/>
      <c r="E36" s="48"/>
      <c r="F36" s="48"/>
      <c r="G36" s="162"/>
      <c r="H36" s="163"/>
      <c r="I36" s="79"/>
      <c r="J36" s="44"/>
      <c r="K36" s="45"/>
      <c r="L36" s="44"/>
      <c r="M36" s="44"/>
      <c r="N36" s="44"/>
      <c r="O36" s="44"/>
      <c r="P36" s="85">
        <v>5</v>
      </c>
      <c r="Q36" s="97" t="str">
        <f>+'Parties groupes_V'!AU39</f>
        <v xml:space="preserve"> </v>
      </c>
      <c r="R36" s="98" t="str">
        <f>IF(ISNA(VLOOKUP(Q36,'Parties groupes_V'!$BB$35:$BC$39,2,0)),"",VLOOKUP(Q36,'Parties groupes_V'!$BB$35:$BC$39,2,0))</f>
        <v/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0" ht="48.75" customHeight="1">
      <c r="O37" s="44"/>
      <c r="P37" s="85">
        <v>5</v>
      </c>
      <c r="Q37" s="97" t="str">
        <f>+'Parties groupes_V'!AU45</f>
        <v xml:space="preserve"> </v>
      </c>
      <c r="R37" s="98" t="str">
        <f>IF(ISNA(VLOOKUP(Q37,'Parties groupes_V'!$BB$41:$BC$45,2,0)),"",VLOOKUP(Q37,'Parties groupes_V'!$BB$41:$BC$45,2,0))</f>
        <v/>
      </c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0" ht="48.75" customHeight="1">
      <c r="P38" s="85">
        <v>5</v>
      </c>
      <c r="Q38" s="97" t="str">
        <f>+'Parties groupes_V'!AU51</f>
        <v xml:space="preserve"> </v>
      </c>
      <c r="R38" s="98" t="str">
        <f>IF(ISNA(VLOOKUP(Q38,'Parties groupes_V'!$BB$47:$BC$51,2,0)),"",VLOOKUP(Q38,'Parties groupes_V'!$BB$47:$BC$51,2,0))</f>
        <v/>
      </c>
    </row>
    <row r="39" spans="1:30" ht="48.75" customHeight="1">
      <c r="P39" s="85">
        <v>5</v>
      </c>
      <c r="Q39" s="97" t="str">
        <f>+'Parties groupes_V'!AU57</f>
        <v xml:space="preserve"> </v>
      </c>
      <c r="R39" s="98" t="str">
        <f>IF(ISNA(VLOOKUP(Q39,'Parties groupes_V'!$BB$53:$BC$57,2,0)),"",VLOOKUP(Q39,'Parties groupes_V'!$BB$53:$BC$57,2,0))</f>
        <v/>
      </c>
    </row>
  </sheetData>
  <sheetProtection sheet="1" objects="1" scenarios="1"/>
  <mergeCells count="32">
    <mergeCell ref="Q33:R33"/>
    <mergeCell ref="Q22:AE22"/>
    <mergeCell ref="A29:A30"/>
    <mergeCell ref="K30:K31"/>
    <mergeCell ref="A31:A32"/>
    <mergeCell ref="F31:I31"/>
    <mergeCell ref="A33:A34"/>
    <mergeCell ref="F33:F34"/>
    <mergeCell ref="A24:D24"/>
    <mergeCell ref="F24:I24"/>
    <mergeCell ref="Q24:R24"/>
    <mergeCell ref="A27:A28"/>
    <mergeCell ref="F27:F28"/>
    <mergeCell ref="K27:N27"/>
    <mergeCell ref="Q13:R13"/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Q2:AE2"/>
    <mergeCell ref="Q4:R4"/>
    <mergeCell ref="A1:J1"/>
    <mergeCell ref="K1:M1"/>
    <mergeCell ref="A2:J2"/>
    <mergeCell ref="K2:M2"/>
    <mergeCell ref="A4:D4"/>
    <mergeCell ref="F4:I4"/>
  </mergeCells>
  <conditionalFormatting sqref="C11:C15 C31:C35">
    <cfRule type="cellIs" dxfId="51" priority="14" stopIfTrue="1" operator="equal">
      <formula>"OFFICE"</formula>
    </cfRule>
  </conditionalFormatting>
  <conditionalFormatting sqref="H9:H10 H15 M13 M15 H29:H30 H35 M33 M35">
    <cfRule type="cellIs" dxfId="50" priority="13" stopIfTrue="1" operator="equal">
      <formula>"OFFICE"</formula>
    </cfRule>
  </conditionalFormatting>
  <conditionalFormatting sqref="Y9 Y29">
    <cfRule type="expression" dxfId="49" priority="11">
      <formula>OR($Z$8&lt;$Z$9,$Z$8=$Z$9)</formula>
    </cfRule>
  </conditionalFormatting>
  <conditionalFormatting sqref="Y12 Y32">
    <cfRule type="expression" dxfId="48" priority="10">
      <formula>OR($Z$12&gt;$Z$13,$Z$12=$Z$13)</formula>
    </cfRule>
  </conditionalFormatting>
  <conditionalFormatting sqref="Y8 Y28">
    <cfRule type="expression" dxfId="47" priority="8">
      <formula>OR($Z$8&gt;$Z$9,$Z$8=$Z$9)</formula>
    </cfRule>
  </conditionalFormatting>
  <conditionalFormatting sqref="Y13 Y33">
    <cfRule type="expression" dxfId="46" priority="7">
      <formula>OR($Z$12&lt;$Z$13,$Z$12=$Z$13)</formula>
    </cfRule>
  </conditionalFormatting>
  <pageMargins left="0.14000000000000001" right="0.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P61"/>
  <sheetViews>
    <sheetView zoomScale="80" zoomScaleNormal="80" workbookViewId="0">
      <selection activeCell="I7" sqref="I7"/>
    </sheetView>
  </sheetViews>
  <sheetFormatPr baseColWidth="10" defaultRowHeight="12.75"/>
  <cols>
    <col min="1" max="1" width="5.5703125" customWidth="1"/>
    <col min="2" max="2" width="35.5703125" customWidth="1"/>
    <col min="3" max="3" width="9.5703125" customWidth="1"/>
    <col min="4" max="4" width="7.140625" customWidth="1"/>
    <col min="5" max="5" width="8.7109375" customWidth="1"/>
    <col min="6" max="6" width="9" customWidth="1"/>
    <col min="7" max="7" width="12.42578125" bestFit="1" customWidth="1"/>
    <col min="9" max="9" width="13.5703125" bestFit="1" customWidth="1"/>
    <col min="14" max="14" width="15.140625" customWidth="1"/>
    <col min="15" max="15" width="14.42578125" customWidth="1"/>
    <col min="16" max="16" width="12.42578125" bestFit="1" customWidth="1"/>
  </cols>
  <sheetData>
    <row r="1" spans="1:16" ht="30.75" customHeight="1" thickBot="1">
      <c r="A1" s="517" t="str">
        <f>+'Parties groupes_V'!A1:G1</f>
        <v>CONCOURS QUALIFICATIFS ARDECHE  -  2022.2023</v>
      </c>
      <c r="B1" s="518"/>
      <c r="C1" s="518"/>
      <c r="D1" s="518"/>
      <c r="E1" s="518"/>
      <c r="F1" s="518"/>
      <c r="G1" s="518"/>
      <c r="H1" s="518"/>
      <c r="I1" s="518"/>
      <c r="J1" s="519"/>
      <c r="K1" s="520" t="str">
        <f>+'Parties groupes_V'!H1</f>
        <v>SATILLIEU</v>
      </c>
      <c r="L1" s="521"/>
      <c r="M1" s="522"/>
      <c r="N1" s="60"/>
      <c r="O1" s="60"/>
      <c r="P1" s="60"/>
    </row>
    <row r="2" spans="1:16" ht="30.75" customHeight="1" thickBot="1">
      <c r="A2" s="523" t="str">
        <f>+'Parties groupes_V'!A2:G2</f>
        <v>M4 - 5ème Journée</v>
      </c>
      <c r="B2" s="524"/>
      <c r="C2" s="524"/>
      <c r="D2" s="524"/>
      <c r="E2" s="524"/>
      <c r="F2" s="524"/>
      <c r="G2" s="524"/>
      <c r="H2" s="524"/>
      <c r="I2" s="524"/>
      <c r="J2" s="525"/>
      <c r="K2" s="526" t="str">
        <f>+'Parties groupes_V'!H2</f>
        <v>S. 18 mars 2023</v>
      </c>
      <c r="L2" s="527"/>
      <c r="M2" s="528"/>
      <c r="N2" s="61"/>
      <c r="O2" s="61"/>
      <c r="P2" s="61"/>
    </row>
    <row r="3" spans="1:16" ht="21" customHeight="1" thickBot="1">
      <c r="A3" s="62"/>
      <c r="B3" s="62"/>
      <c r="C3" s="551"/>
      <c r="D3" s="551"/>
      <c r="E3" s="551"/>
      <c r="F3" s="63"/>
      <c r="G3" s="63"/>
      <c r="H3" s="44"/>
      <c r="I3" s="44"/>
      <c r="J3" s="44"/>
      <c r="K3" s="44"/>
      <c r="L3" s="44"/>
      <c r="M3" s="550"/>
      <c r="N3" s="550"/>
      <c r="O3" s="64"/>
      <c r="P3" s="64"/>
    </row>
    <row r="4" spans="1:16" ht="27" customHeight="1" thickBot="1">
      <c r="A4" s="44"/>
      <c r="B4" s="65"/>
      <c r="C4" s="545" t="s">
        <v>52</v>
      </c>
      <c r="D4" s="546"/>
      <c r="E4" s="546"/>
      <c r="F4" s="546"/>
      <c r="G4" s="546"/>
      <c r="H4" s="546"/>
      <c r="I4" s="546"/>
      <c r="J4" s="546"/>
      <c r="K4" s="546"/>
      <c r="L4" s="547"/>
      <c r="M4" s="548" t="s">
        <v>53</v>
      </c>
      <c r="N4" s="546"/>
      <c r="O4" s="546"/>
      <c r="P4" s="549"/>
    </row>
    <row r="5" spans="1:16" ht="32.25" thickBot="1">
      <c r="A5" s="44"/>
      <c r="B5" s="65"/>
      <c r="C5" s="66" t="s">
        <v>54</v>
      </c>
      <c r="D5" s="67" t="s">
        <v>55</v>
      </c>
      <c r="E5" s="67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 t="s">
        <v>80</v>
      </c>
      <c r="K5" s="67" t="s">
        <v>61</v>
      </c>
      <c r="L5" s="67" t="s">
        <v>62</v>
      </c>
      <c r="M5" s="69" t="s">
        <v>63</v>
      </c>
      <c r="N5" s="67" t="s">
        <v>64</v>
      </c>
      <c r="O5" s="70" t="s">
        <v>65</v>
      </c>
      <c r="P5" s="70" t="s">
        <v>66</v>
      </c>
    </row>
    <row r="6" spans="1:16" ht="13.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4.95" customHeight="1">
      <c r="A7" s="542">
        <v>1</v>
      </c>
      <c r="B7" s="181" t="str">
        <f>+'Parties groupes_V'!I7</f>
        <v>COMBETTE DAVID</v>
      </c>
      <c r="C7" s="346">
        <f>INDEX('Parties groupes_V'!$K$7:$K$11,MATCH(B7,'Parties groupes_V'!$I$7:$I$11,0))</f>
        <v>0</v>
      </c>
      <c r="D7" s="347">
        <f>INDEX('Parties groupes_V'!$T$7:$T$11,MATCH(B7,'Parties groupes_V'!$R$7:$R$11,0))</f>
        <v>0</v>
      </c>
      <c r="E7" s="348">
        <f>INDEX('Parties groupes_V'!$AC$7:$AC$11,MATCH(B7,'Parties groupes_V'!$AA$7:$AA$11,0))</f>
        <v>0</v>
      </c>
      <c r="F7" s="71">
        <f>IF((C7=""),"",SUM(C7:E7))</f>
        <v>0</v>
      </c>
      <c r="G7" s="341" t="str">
        <f>IF(ISNA(MATCH(B7,'Parties groupes_V'!$AI$7:$AI$11,0)),"",INDEX('Parties groupes_V'!$AL$7:$AL$11,MATCH(B7,'Parties groupes_V'!$AI$7:$AI$11,0)))</f>
        <v/>
      </c>
      <c r="H7" s="347" t="str">
        <f>IF(ISNA(MATCH(B7,'Parties groupes_V'!$AI$7:$AI$11,0)),"",INDEX('Parties groupes_V'!$AM$7:$AM$11,MATCH(B7,'Parties groupes_V'!$AI$7:$AI$11,0)))</f>
        <v/>
      </c>
      <c r="I7" s="347" t="e">
        <f>IF((F7=""),"",(G7-H7))</f>
        <v>#VALUE!</v>
      </c>
      <c r="J7" s="348" t="str">
        <f>IF(ISNA(MATCH(B7,'Parties groupes_V'!$AI$7:$AI$11,0)),"",INDEX('Parties groupes_V'!$AO$7:$AO$11,MATCH(B7,'Parties groupes_V'!$AI$7:$AI$11,0)))</f>
        <v/>
      </c>
      <c r="K7" s="355" t="str">
        <f>IF(ISNA(MATCH(B7,'Parties groupes_V'!$AU$7:$AU$11,0)),"",INDEX('Parties groupes_V'!$AT$7:$AT$11,MATCH(B7,'Parties groupes_V'!$AU$7:$AU$11,0)))</f>
        <v/>
      </c>
      <c r="L7" s="362">
        <f>IF((D7=""),"",IF((K7=1),6,IF((K7=2),4,IF((K7=3),2,0))))</f>
        <v>0</v>
      </c>
      <c r="M7" s="359" t="str">
        <f>IF((K7=""),"",IF(OR(K7=1,K7=4,K7=5),"",IF(('Phases Finales'!$D$14=""),"",VLOOKUP(B7,'Phases Finales'!$T$7:$Z$14,4,0))))</f>
        <v/>
      </c>
      <c r="N7" s="179" t="str">
        <f>IF((K7=""),"",IF(OR(K7=2,K7=3,K7=4,K7=5),"",IF(('Phases Finales'!$I$14=""),"",VLOOKUP(B7,'Phases Finales'!$X$8:$AA$13,4,0))))</f>
        <v/>
      </c>
      <c r="O7" s="176" t="str">
        <f>IF(OR(N7="",N7=0),"",VLOOKUP(B7,'Phases Finales'!$AB$10:$AE$11,4,0))</f>
        <v/>
      </c>
      <c r="P7" s="173">
        <f>IF((E7=""),"",SUM(F7,L7,M7,N7,O7))</f>
        <v>0</v>
      </c>
    </row>
    <row r="8" spans="1:16" ht="24.95" customHeight="1">
      <c r="A8" s="543"/>
      <c r="B8" s="73" t="str">
        <f>+'Parties groupes_V'!I8</f>
        <v>BERNARD Jérémy</v>
      </c>
      <c r="C8" s="349">
        <f>INDEX('Parties groupes_V'!$K$7:$K$11,MATCH(B8,'Parties groupes_V'!$I$7:$I$11,0))</f>
        <v>0</v>
      </c>
      <c r="D8" s="183">
        <f>INDEX('Parties groupes_V'!$T$7:$T$11,MATCH(B8,'Parties groupes_V'!$R$7:$R$11,0))</f>
        <v>0</v>
      </c>
      <c r="E8" s="350">
        <f>INDEX('Parties groupes_V'!$AC$7:$AC$11,MATCH(B8,'Parties groupes_V'!$AA$7:$AA$11,0))</f>
        <v>0</v>
      </c>
      <c r="F8" s="74">
        <f>IF((C8=""),"",SUM(C8:E8))</f>
        <v>0</v>
      </c>
      <c r="G8" s="342" t="str">
        <f>IF(ISNA(MATCH(B8,'Parties groupes_V'!$AI$7:$AI$11,0)),"",INDEX('Parties groupes_V'!$AL$7:$AL$11,MATCH(B8,'Parties groupes_V'!$AI$7:$AI$11,0)))</f>
        <v/>
      </c>
      <c r="H8" s="183" t="str">
        <f>IF(ISNA(MATCH(B8,'Parties groupes_V'!$AI$7:$AI$11,0)),"",INDEX('Parties groupes_V'!$AM$7:$AM$11,MATCH(B8,'Parties groupes_V'!$AI$7:$AI$11,0)))</f>
        <v/>
      </c>
      <c r="I8" s="183" t="e">
        <f t="shared" ref="I8:I29" si="0">IF((F8=""),"",(G8-H8))</f>
        <v>#VALUE!</v>
      </c>
      <c r="J8" s="350" t="str">
        <f>IF(ISNA(MATCH(B8,'Parties groupes_V'!$AI$7:$AI$11,0)),"",INDEX('Parties groupes_V'!$AO$7:$AO$11,MATCH(B8,'Parties groupes_V'!$AI$7:$AI$11,0)))</f>
        <v/>
      </c>
      <c r="K8" s="356" t="str">
        <f>IF(ISNA(MATCH(B8,'Parties groupes_V'!$AU$7:$AU$11,0)),"",INDEX('Parties groupes_V'!$AT$7:$AT$11,MATCH(B8,'Parties groupes_V'!$AU$7:$AU$11,0)))</f>
        <v/>
      </c>
      <c r="L8" s="356">
        <f>IF((D8=""),"",IF((K8=1),6,IF((K8=2),4,IF((K8=3),2,0))))</f>
        <v>0</v>
      </c>
      <c r="M8" s="360" t="str">
        <f>IF((K8=""),"",IF(OR(K8=1,K8=4,K8=5),"",IF(('Phases Finales'!$D$14=""),"",VLOOKUP(B8,'Phases Finales'!$T$7:$Z$14,4,0))))</f>
        <v/>
      </c>
      <c r="N8" s="72" t="str">
        <f>IF((K8=""),"",IF(OR(K8=2,K8=3,K8=4,K8=5),"",IF(('Phases Finales'!$I$14=""),"",VLOOKUP(B8,'Phases Finales'!$X$8:$AA$13,4,0))))</f>
        <v/>
      </c>
      <c r="O8" s="75" t="str">
        <f>IF(OR(N8="",N8=0),"",VLOOKUP(B8,'Phases Finales'!$AB$10:$AE$11,4,0))</f>
        <v/>
      </c>
      <c r="P8" s="172">
        <f>IF((E8=""),"",SUM(F8,L8,M8,N8,O8))</f>
        <v>0</v>
      </c>
    </row>
    <row r="9" spans="1:16" ht="24.95" customHeight="1">
      <c r="A9" s="543"/>
      <c r="B9" s="73" t="str">
        <f>+'Parties groupes_V'!I9</f>
        <v>TEIL Gilbert</v>
      </c>
      <c r="C9" s="349">
        <f>INDEX('Parties groupes_V'!$K$7:$K$11,MATCH(B9,'Parties groupes_V'!$I$7:$I$11,0))</f>
        <v>0</v>
      </c>
      <c r="D9" s="183">
        <f>INDEX('Parties groupes_V'!$T$7:$T$11,MATCH(B9,'Parties groupes_V'!$R$7:$R$11,0))</f>
        <v>0</v>
      </c>
      <c r="E9" s="350">
        <f>INDEX('Parties groupes_V'!$AC$7:$AC$11,MATCH(B9,'Parties groupes_V'!$AA$7:$AA$11,0))</f>
        <v>0</v>
      </c>
      <c r="F9" s="74">
        <f>IF((C9=""),"",SUM(C9:E9))</f>
        <v>0</v>
      </c>
      <c r="G9" s="343" t="str">
        <f>IF(ISNA(MATCH(B9,'Parties groupes_V'!$AI$7:$AI$11,0)),"",INDEX('Parties groupes_V'!$AL$7:$AL$11,MATCH(B9,'Parties groupes_V'!$AI$7:$AI$11,0)))</f>
        <v/>
      </c>
      <c r="H9" s="183" t="str">
        <f>IF(ISNA(MATCH(B9,'Parties groupes_V'!$AI$7:$AI$11,0)),"",INDEX('Parties groupes_V'!$AM$7:$AM$11,MATCH(B9,'Parties groupes_V'!$AI$7:$AI$11,0)))</f>
        <v/>
      </c>
      <c r="I9" s="183" t="e">
        <f t="shared" si="0"/>
        <v>#VALUE!</v>
      </c>
      <c r="J9" s="350" t="str">
        <f>IF(ISNA(MATCH(B9,'Parties groupes_V'!$AI$7:$AI$11,0)),"",INDEX('Parties groupes_V'!$AO$7:$AO$11,MATCH(B9,'Parties groupes_V'!$AI$7:$AI$11,0)))</f>
        <v/>
      </c>
      <c r="K9" s="357" t="str">
        <f>IF(ISNA(MATCH(B9,'Parties groupes_V'!$AU$7:$AU$11,0)),"",INDEX('Parties groupes_V'!$AT$7:$AT$11,MATCH(B9,'Parties groupes_V'!$AU$7:$AU$11,0)))</f>
        <v/>
      </c>
      <c r="L9" s="356">
        <f>IF((D9=""),"",IF((K9=1),6,IF((K9=2),4,IF((K9=3),2,0))))</f>
        <v>0</v>
      </c>
      <c r="M9" s="360" t="str">
        <f>IF((K9=""),"",IF(OR(K9=1,K9=4,K9=5),"",IF(('Phases Finales'!$D$14=""),"",VLOOKUP(B9,'Phases Finales'!$T$7:$Z$14,4,0))))</f>
        <v/>
      </c>
      <c r="N9" s="72" t="str">
        <f>IF((K9=""),"",IF(OR(K9=2,K9=3,K9=4,K9=5),"",IF(('Phases Finales'!$I$14=""),"",VLOOKUP(B9,'Phases Finales'!$X$8:$AA$13,4,0))))</f>
        <v/>
      </c>
      <c r="O9" s="75" t="str">
        <f>IF(OR(N9="",N9=0),"",VLOOKUP(B9,'Phases Finales'!$AB$10:$AE$11,4,0))</f>
        <v/>
      </c>
      <c r="P9" s="172">
        <f>IF((E9=""),"",SUM(F9,L9,M9,N9,O9))</f>
        <v>0</v>
      </c>
    </row>
    <row r="10" spans="1:16" ht="24.95" customHeight="1">
      <c r="A10" s="543"/>
      <c r="B10" s="73" t="str">
        <f>+'Parties groupes_V'!I10</f>
        <v>JULIAT Eric</v>
      </c>
      <c r="C10" s="349">
        <f>INDEX('Parties groupes_V'!$K$7:$K$11,MATCH(B10,'Parties groupes_V'!$I$7:$I$11,0))</f>
        <v>0</v>
      </c>
      <c r="D10" s="183">
        <f>INDEX('Parties groupes_V'!$T$7:$T$11,MATCH(B10,'Parties groupes_V'!$R$7:$R$11,0))</f>
        <v>0</v>
      </c>
      <c r="E10" s="350">
        <f>INDEX('Parties groupes_V'!$AC$7:$AC$11,MATCH(B10,'Parties groupes_V'!$AA$7:$AA$11,0))</f>
        <v>0</v>
      </c>
      <c r="F10" s="74">
        <f>IF((C10=""),"",SUM(C10:E10))</f>
        <v>0</v>
      </c>
      <c r="G10" s="342" t="str">
        <f>IF(ISNA(MATCH(B10,'Parties groupes_V'!$AI$7:$AI$11,0)),"",INDEX('Parties groupes_V'!$AL$7:$AL$11,MATCH(B10,'Parties groupes_V'!$AI$7:$AI$11,0)))</f>
        <v/>
      </c>
      <c r="H10" s="183" t="str">
        <f>IF(ISNA(MATCH(B10,'Parties groupes_V'!$AI$7:$AI$11,0)),"",INDEX('Parties groupes_V'!$AM$7:$AM$11,MATCH(B10,'Parties groupes_V'!$AI$7:$AI$11,0)))</f>
        <v/>
      </c>
      <c r="I10" s="183" t="e">
        <f t="shared" si="0"/>
        <v>#VALUE!</v>
      </c>
      <c r="J10" s="350" t="str">
        <f>IF(ISNA(MATCH(B10,'Parties groupes_V'!$AI$7:$AI$11,0)),"",INDEX('Parties groupes_V'!$AO$7:$AO$11,MATCH(B10,'Parties groupes_V'!$AI$7:$AI$11,0)))</f>
        <v/>
      </c>
      <c r="K10" s="356" t="str">
        <f>IF(ISNA(MATCH(B10,'Parties groupes_V'!$AU$7:$AU$11,0)),"",INDEX('Parties groupes_V'!$AT$7:$AT$11,MATCH(B10,'Parties groupes_V'!$AU$7:$AU$11,0)))</f>
        <v/>
      </c>
      <c r="L10" s="356">
        <f>IF((D10=""),"",IF((K10=1),6,IF((K10=2),4,IF((K10=3),2,0))))</f>
        <v>0</v>
      </c>
      <c r="M10" s="360" t="str">
        <f>IF((K10=""),"",IF(OR(K10=1,K10=4,K10=5),"",IF(('Phases Finales'!$D$14=""),"",VLOOKUP(B10,'Phases Finales'!$T$7:$Z$14,4,0))))</f>
        <v/>
      </c>
      <c r="N10" s="72" t="str">
        <f>IF((K10=""),"",IF(OR(K10=2,K10=3,K10=4,K10=5),"",IF(('Phases Finales'!$I$14=""),"",VLOOKUP(B10,'Phases Finales'!$X$8:$AA$13,4,0))))</f>
        <v/>
      </c>
      <c r="O10" s="75" t="str">
        <f>IF(OR(N10="",N10=0),"",VLOOKUP(B10,'Phases Finales'!$AB$10:$AE$11,4,0))</f>
        <v/>
      </c>
      <c r="P10" s="172">
        <f>IF((E10=""),"",SUM(F10,L10,M10,N10,O10))</f>
        <v>0</v>
      </c>
    </row>
    <row r="11" spans="1:16" ht="24.95" customHeight="1" thickBot="1">
      <c r="A11" s="544"/>
      <c r="B11" s="182" t="str">
        <f>+'Parties groupes_V'!I11</f>
        <v>COMTE Denis</v>
      </c>
      <c r="C11" s="351">
        <f>INDEX('Parties groupes_V'!$K$7:$K$11,MATCH(B11,'Parties groupes_V'!$I$7:$I$11,0))</f>
        <v>0</v>
      </c>
      <c r="D11" s="352">
        <f>INDEX('Parties groupes_V'!$T$7:$T$11,MATCH(B11,'Parties groupes_V'!$R$7:$R$11,0))</f>
        <v>0</v>
      </c>
      <c r="E11" s="353">
        <f>INDEX('Parties groupes_V'!$AC$7:$AC$11,MATCH(B11,'Parties groupes_V'!$AA$7:$AA$11,0))</f>
        <v>0</v>
      </c>
      <c r="F11" s="76">
        <f>IF((C11=""),"",SUM(C11:E11))</f>
        <v>0</v>
      </c>
      <c r="G11" s="354" t="str">
        <f>IF(ISNA(MATCH(B11,'Parties groupes_V'!$AI$7:$AI$11,0)),"",INDEX('Parties groupes_V'!$AL$7:$AL$11,MATCH(B11,'Parties groupes_V'!$AI$7:$AI$11,0)))</f>
        <v/>
      </c>
      <c r="H11" s="352" t="str">
        <f>IF(ISNA(MATCH(B11,'Parties groupes_V'!$AI$7:$AI$11,0)),"",INDEX('Parties groupes_V'!$AM$7:$AM$11,MATCH(B11,'Parties groupes_V'!$AI$7:$AI$11,0)))</f>
        <v/>
      </c>
      <c r="I11" s="352" t="e">
        <f t="shared" si="0"/>
        <v>#VALUE!</v>
      </c>
      <c r="J11" s="353" t="str">
        <f>IF(ISNA(MATCH(B11,'Parties groupes_V'!$AI$7:$AI$11,0)),"",INDEX('Parties groupes_V'!$AO$7:$AO$11,MATCH(B11,'Parties groupes_V'!$AI$7:$AI$11,0)))</f>
        <v/>
      </c>
      <c r="K11" s="358" t="str">
        <f>IF(ISNA(MATCH(B11,'Parties groupes_V'!$AU$7:$AU$11,0)),"",INDEX('Parties groupes_V'!$AT$7:$AT$11,MATCH(B11,'Parties groupes_V'!$AU$7:$AU$11,0)))</f>
        <v/>
      </c>
      <c r="L11" s="363">
        <f>IF((D11=""),"",IF((K11=1),6,IF((K11=2),4,IF((K11=3),2,0))))</f>
        <v>0</v>
      </c>
      <c r="M11" s="361" t="str">
        <f>IF((K11=""),"",IF(OR(K11=1,K11=4,K11=5),"",IF(('Phases Finales'!$D$14=""),"",VLOOKUP(B11,'Phases Finales'!$T$7:$Z$14,4,0))))</f>
        <v/>
      </c>
      <c r="N11" s="180" t="str">
        <f>IF((K11=""),"",IF(OR(K11=2,K11=3,K11=4,K11=5),"",IF(('Phases Finales'!$I$14=""),"",VLOOKUP(B11,'Phases Finales'!$X$8:$AA$13,4,0))))</f>
        <v/>
      </c>
      <c r="O11" s="77" t="str">
        <f>IF(OR(N11="",N11=0),"",VLOOKUP(B11,'Phases Finales'!$AB$10:$AE$11,4,0))</f>
        <v/>
      </c>
      <c r="P11" s="174">
        <f>IF((E11=""),"",SUM(F11,L11,M11,N11,O11))</f>
        <v>0</v>
      </c>
    </row>
    <row r="12" spans="1:16" ht="24.95" customHeight="1" thickBot="1">
      <c r="A12" s="78"/>
      <c r="B12" s="39"/>
      <c r="C12" s="79"/>
      <c r="D12" s="79"/>
      <c r="E12" s="79"/>
      <c r="F12" s="80"/>
      <c r="G12" s="55"/>
      <c r="K12" s="79"/>
      <c r="L12" s="81"/>
      <c r="M12" s="81"/>
      <c r="N12" s="81"/>
      <c r="O12" s="81"/>
      <c r="P12" s="164"/>
    </row>
    <row r="13" spans="1:16" ht="24.95" customHeight="1">
      <c r="A13" s="542">
        <v>2</v>
      </c>
      <c r="B13" s="181" t="str">
        <f>+'Parties groupes_V'!I13</f>
        <v>CHIROL antoine</v>
      </c>
      <c r="C13" s="346">
        <f>INDEX('Parties groupes_V'!$K$13:$K$17,MATCH(B13,'Parties groupes_V'!$I$13:$I$17,0))</f>
        <v>0</v>
      </c>
      <c r="D13" s="347">
        <f>INDEX('Parties groupes_V'!$T$13:$T$17,MATCH(B13,'Parties groupes_V'!$R$13:$R$17,0))</f>
        <v>0</v>
      </c>
      <c r="E13" s="348">
        <f>INDEX('Parties groupes_V'!$AC$13:$AC$17,MATCH(B13,'Parties groupes_V'!$AA$13:$AA$17,0))</f>
        <v>0</v>
      </c>
      <c r="F13" s="338">
        <f>IF((C13=""),"",SUM(C13:E13))</f>
        <v>0</v>
      </c>
      <c r="G13" s="346" t="str">
        <f>IF(ISNA(MATCH(B13,'Parties groupes_V'!$AI$13:$AI$17,0)),"",INDEX('Parties groupes_V'!$AL$13:$AL$17,MATCH(B13,'Parties groupes_V'!$AI$13:$AI$17,0)))</f>
        <v/>
      </c>
      <c r="H13" s="347" t="str">
        <f>IF(ISNA(MATCH(B13,'Parties groupes_V'!$AI$13:$AI$17,0)),"",INDEX('Parties groupes_V'!$AM$13:$AM$17,MATCH(B13,'Parties groupes_V'!$AI$13:$AI$17,0)))</f>
        <v/>
      </c>
      <c r="I13" s="347" t="e">
        <f t="shared" si="0"/>
        <v>#VALUE!</v>
      </c>
      <c r="J13" s="348" t="str">
        <f>IF(ISNA(MATCH(B13,'Parties groupes_V'!$AI$13:$AI$17,0)),"",INDEX('Parties groupes_V'!$AO$13:$AO$17,MATCH(B13,'Parties groupes_V'!$AI$13:$AI$17,0)))</f>
        <v/>
      </c>
      <c r="K13" s="355" t="str">
        <f>IF(ISNA(MATCH(B13,'Parties groupes_V'!$AU$13:$AU$17,0)),"",INDEX('Parties groupes_V'!$AT$13:$AT$17,MATCH(B13,'Parties groupes_V'!$AU$13:$AU$17,0)))</f>
        <v/>
      </c>
      <c r="L13" s="362">
        <f>IF((D13=""),"",IF((K13=1),6,IF((K13=2),4,IF((K13=3),2,0))))</f>
        <v>0</v>
      </c>
      <c r="M13" s="359" t="str">
        <f>IF((K13=""),"",IF(OR(K13=1,K13=4,K13=5),"",IF(('Phases Finales'!$D$14=""),"",VLOOKUP(B13,'Phases Finales'!$T$7:$Z$14,4,0))))</f>
        <v/>
      </c>
      <c r="N13" s="179" t="str">
        <f>IF((K13=""),"",IF(OR(K13=2,K13=3,K13=4,K13=5),"",IF(('Phases Finales'!$I$14=""),"",VLOOKUP(B13,'Phases Finales'!$X$8:$AA$13,4,0))))</f>
        <v/>
      </c>
      <c r="O13" s="176" t="str">
        <f>IF(OR(N13="",N13=0),"",VLOOKUP(B13,'Phases Finales'!$AB$10:$AE$11,4,0))</f>
        <v/>
      </c>
      <c r="P13" s="173">
        <f>IF((E13=""),"",SUM(F13,L13,M13,N13,O13))</f>
        <v>0</v>
      </c>
    </row>
    <row r="14" spans="1:16" ht="24.95" customHeight="1">
      <c r="A14" s="543"/>
      <c r="B14" s="73" t="str">
        <f>+'Parties groupes_V'!I14</f>
        <v>VASCHALDE GUY</v>
      </c>
      <c r="C14" s="349">
        <f>INDEX('Parties groupes_V'!$K$13:$K$17,MATCH(B14,'Parties groupes_V'!$I$13:$I$17,0))</f>
        <v>0</v>
      </c>
      <c r="D14" s="183">
        <f>INDEX('Parties groupes_V'!$T$13:$T$17,MATCH(B14,'Parties groupes_V'!$R$13:$R$17,0))</f>
        <v>0</v>
      </c>
      <c r="E14" s="350">
        <f>INDEX('Parties groupes_V'!$AC$13:$AC$17,MATCH(B14,'Parties groupes_V'!$AA$13:$AA$17,0))</f>
        <v>0</v>
      </c>
      <c r="F14" s="339">
        <f>IF((C14=""),"",SUM(C14:E14))</f>
        <v>0</v>
      </c>
      <c r="G14" s="349" t="str">
        <f>IF(ISNA(MATCH(B14,'Parties groupes_V'!$AI$13:$AI$17,0)),"",INDEX('Parties groupes_V'!$AL$13:$AL$17,MATCH(B14,'Parties groupes_V'!$AI$13:$AI$17,0)))</f>
        <v/>
      </c>
      <c r="H14" s="183" t="str">
        <f>IF(ISNA(MATCH(B14,'Parties groupes_V'!$AI$13:$AI$17,0)),"",INDEX('Parties groupes_V'!$AM$13:$AM$17,MATCH(B14,'Parties groupes_V'!$AI$13:$AI$17,0)))</f>
        <v/>
      </c>
      <c r="I14" s="183" t="e">
        <f t="shared" si="0"/>
        <v>#VALUE!</v>
      </c>
      <c r="J14" s="350" t="str">
        <f>IF(ISNA(MATCH(B14,'Parties groupes_V'!$AI$13:$AI$17,0)),"",INDEX('Parties groupes_V'!$AO$13:$AO$17,MATCH(B14,'Parties groupes_V'!$AI$13:$AI$17,0)))</f>
        <v/>
      </c>
      <c r="K14" s="356" t="str">
        <f>IF(ISNA(MATCH(B14,'Parties groupes_V'!$AU$13:$AU$17,0)),"",INDEX('Parties groupes_V'!$AT$13:$AT$17,MATCH(B14,'Parties groupes_V'!$AU$13:$AU$17,0)))</f>
        <v/>
      </c>
      <c r="L14" s="356">
        <f>IF((D14=""),"",IF((K14=1),6,IF((K14=2),4,IF((K14=3),2,0))))</f>
        <v>0</v>
      </c>
      <c r="M14" s="360" t="str">
        <f>IF((K14=""),"",IF(OR(K14=1,K14=4,K14=5),"",IF(('Phases Finales'!$D$14=""),"",VLOOKUP(B14,'Phases Finales'!$T$7:$Z$14,4,0))))</f>
        <v/>
      </c>
      <c r="N14" s="72" t="str">
        <f>IF((K14=""),"",IF(OR(K14=2,K14=3,K14=4,K14=5),"",IF(('Phases Finales'!$I$14=""),"",VLOOKUP(B14,'Phases Finales'!$X$8:$AA$13,4,0))))</f>
        <v/>
      </c>
      <c r="O14" s="75" t="str">
        <f>IF(OR(N14="",N14=0),"",VLOOKUP(B14,'Phases Finales'!$AB$10:$AE$11,4,0))</f>
        <v/>
      </c>
      <c r="P14" s="172">
        <f>IF((E14=""),"",SUM(F14,L14,M14,N14,O14))</f>
        <v>0</v>
      </c>
    </row>
    <row r="15" spans="1:16" ht="24.95" customHeight="1">
      <c r="A15" s="543"/>
      <c r="B15" s="73" t="str">
        <f>+'Parties groupes_V'!I15</f>
        <v>GINESTE Thierry</v>
      </c>
      <c r="C15" s="349">
        <f>INDEX('Parties groupes_V'!$K$13:$K$17,MATCH(B15,'Parties groupes_V'!$I$13:$I$17,0))</f>
        <v>0</v>
      </c>
      <c r="D15" s="183">
        <f>INDEX('Parties groupes_V'!$T$13:$T$17,MATCH(B15,'Parties groupes_V'!$R$13:$R$17,0))</f>
        <v>0</v>
      </c>
      <c r="E15" s="350">
        <f>INDEX('Parties groupes_V'!$AC$13:$AC$17,MATCH(B15,'Parties groupes_V'!$AA$13:$AA$17,0))</f>
        <v>0</v>
      </c>
      <c r="F15" s="339">
        <f>IF((C15=""),"",SUM(C15:E15))</f>
        <v>0</v>
      </c>
      <c r="G15" s="349" t="str">
        <f>IF(ISNA(MATCH(B15,'Parties groupes_V'!$AI$13:$AI$17,0)),"",INDEX('Parties groupes_V'!$AL$13:$AL$17,MATCH(B15,'Parties groupes_V'!$AI$13:$AI$17,0)))</f>
        <v/>
      </c>
      <c r="H15" s="183" t="str">
        <f>IF(ISNA(MATCH(B15,'Parties groupes_V'!$AI$13:$AI$17,0)),"",INDEX('Parties groupes_V'!$AM$13:$AM$17,MATCH(B15,'Parties groupes_V'!$AI$13:$AI$17,0)))</f>
        <v/>
      </c>
      <c r="I15" s="183" t="e">
        <f t="shared" si="0"/>
        <v>#VALUE!</v>
      </c>
      <c r="J15" s="350" t="str">
        <f>IF(ISNA(MATCH(B15,'Parties groupes_V'!$AI$13:$AI$17,0)),"",INDEX('Parties groupes_V'!$AO$13:$AO$17,MATCH(B15,'Parties groupes_V'!$AI$13:$AI$17,0)))</f>
        <v/>
      </c>
      <c r="K15" s="357" t="str">
        <f>IF(ISNA(MATCH(B15,'Parties groupes_V'!$AU$13:$AU$17,0)),"",INDEX('Parties groupes_V'!$AT$13:$AT$17,MATCH(B15,'Parties groupes_V'!$AU$13:$AU$17,0)))</f>
        <v/>
      </c>
      <c r="L15" s="356">
        <f>IF((D15=""),"",IF((K15=1),6,IF((K15=2),4,IF((K15=3),2,0))))</f>
        <v>0</v>
      </c>
      <c r="M15" s="360" t="str">
        <f>IF((K15=""),"",IF(OR(K15=1,K15=4,K15=5),"",IF(('Phases Finales'!$D$14=""),"",VLOOKUP(B15,'Phases Finales'!$T$7:$Z$14,4,0))))</f>
        <v/>
      </c>
      <c r="N15" s="72" t="str">
        <f>IF((K15=""),"",IF(OR(K15=2,K15=3,K15=4,K15=5),"",IF(('Phases Finales'!$I$14=""),"",VLOOKUP(B15,'Phases Finales'!$X$8:$AA$13,4,0))))</f>
        <v/>
      </c>
      <c r="O15" s="75" t="str">
        <f>IF(OR(N15="",N15=0),"",VLOOKUP(B15,'Phases Finales'!$AB$10:$AE$11,4,0))</f>
        <v/>
      </c>
      <c r="P15" s="172">
        <f>IF((E15=""),"",SUM(F15,L15,M15,N15,O15))</f>
        <v>0</v>
      </c>
    </row>
    <row r="16" spans="1:16" ht="24.95" customHeight="1">
      <c r="A16" s="543"/>
      <c r="B16" s="73" t="str">
        <f>+'Parties groupes_V'!I16</f>
        <v xml:space="preserve">VERSINO Fabien </v>
      </c>
      <c r="C16" s="349">
        <f>INDEX('Parties groupes_V'!$K$13:$K$17,MATCH(B16,'Parties groupes_V'!$I$13:$I$17,0))</f>
        <v>0</v>
      </c>
      <c r="D16" s="183">
        <f>INDEX('Parties groupes_V'!$T$13:$T$17,MATCH(B16,'Parties groupes_V'!$R$13:$R$17,0))</f>
        <v>0</v>
      </c>
      <c r="E16" s="350">
        <f>INDEX('Parties groupes_V'!$AC$13:$AC$17,MATCH(B16,'Parties groupes_V'!$AA$13:$AA$17,0))</f>
        <v>0</v>
      </c>
      <c r="F16" s="339">
        <f>IF((C16=""),"",SUM(C16:E16))</f>
        <v>0</v>
      </c>
      <c r="G16" s="349" t="str">
        <f>IF(ISNA(MATCH(B16,'Parties groupes_V'!$AI$13:$AI$17,0)),"",INDEX('Parties groupes_V'!$AL$13:$AL$17,MATCH(B16,'Parties groupes_V'!$AI$13:$AI$17,0)))</f>
        <v/>
      </c>
      <c r="H16" s="183" t="str">
        <f>IF(ISNA(MATCH(B16,'Parties groupes_V'!$AI$13:$AI$17,0)),"",INDEX('Parties groupes_V'!$AM$13:$AM$17,MATCH(B16,'Parties groupes_V'!$AI$13:$AI$17,0)))</f>
        <v/>
      </c>
      <c r="I16" s="183" t="e">
        <f t="shared" si="0"/>
        <v>#VALUE!</v>
      </c>
      <c r="J16" s="350" t="str">
        <f>IF(ISNA(MATCH(B16,'Parties groupes_V'!$AI$13:$AI$17,0)),"",INDEX('Parties groupes_V'!$AO$13:$AO$17,MATCH(B16,'Parties groupes_V'!$AI$13:$AI$17,0)))</f>
        <v/>
      </c>
      <c r="K16" s="356" t="str">
        <f>IF(ISNA(MATCH(B16,'Parties groupes_V'!$AU$13:$AU$17,0)),"",INDEX('Parties groupes_V'!$AT$13:$AT$17,MATCH(B16,'Parties groupes_V'!$AU$13:$AU$17,0)))</f>
        <v/>
      </c>
      <c r="L16" s="356">
        <f>IF((D16=""),"",IF((K16=1),6,IF((K16=2),4,IF((K16=3),2,0))))</f>
        <v>0</v>
      </c>
      <c r="M16" s="360" t="str">
        <f>IF((K16=""),"",IF(OR(K16=1,K16=4,K16=5),"",IF(('Phases Finales'!$D$14=""),"",VLOOKUP(B16,'Phases Finales'!$T$7:$Z$14,4,0))))</f>
        <v/>
      </c>
      <c r="N16" s="72" t="str">
        <f>IF((K16=""),"",IF(OR(K16=2,K16=3,K16=4,K16=5),"",IF(('Phases Finales'!$I$14=""),"",VLOOKUP(B16,'Phases Finales'!$X$8:$AA$13,4,0))))</f>
        <v/>
      </c>
      <c r="O16" s="75" t="str">
        <f>IF(OR(N16="",N16=0),"",VLOOKUP(B16,'Phases Finales'!$AB$10:$AE$11,4,0))</f>
        <v/>
      </c>
      <c r="P16" s="172">
        <f>IF((E16=""),"",SUM(F16,L16,M16,N16,O16))</f>
        <v>0</v>
      </c>
    </row>
    <row r="17" spans="1:16" ht="24.95" customHeight="1" thickBot="1">
      <c r="A17" s="544"/>
      <c r="B17" s="182" t="str">
        <f>+'Parties groupes_V'!I17</f>
        <v>PLANTIER Pierre</v>
      </c>
      <c r="C17" s="351">
        <f>INDEX('Parties groupes_V'!$K$13:$K$17,MATCH(B17,'Parties groupes_V'!$I$13:$I$17,0))</f>
        <v>0</v>
      </c>
      <c r="D17" s="352">
        <f>INDEX('Parties groupes_V'!$T$13:$T$17,MATCH(B17,'Parties groupes_V'!$R$13:$R$17,0))</f>
        <v>0</v>
      </c>
      <c r="E17" s="353">
        <f>INDEX('Parties groupes_V'!$AC$13:$AC$17,MATCH(B17,'Parties groupes_V'!$AA$13:$AA$17,0))</f>
        <v>0</v>
      </c>
      <c r="F17" s="340">
        <f>IF((C17=""),"",SUM(C17:E17))</f>
        <v>0</v>
      </c>
      <c r="G17" s="351" t="str">
        <f>IF(ISNA(MATCH(B17,'Parties groupes_V'!$AI$13:$AI$17,0)),"",INDEX('Parties groupes_V'!$AL$13:$AL$17,MATCH(B17,'Parties groupes_V'!$AI$13:$AI$17,0)))</f>
        <v/>
      </c>
      <c r="H17" s="352" t="str">
        <f>IF(ISNA(MATCH(B17,'Parties groupes_V'!$AI$13:$AI$17,0)),"",INDEX('Parties groupes_V'!$AM$13:$AM$17,MATCH(B17,'Parties groupes_V'!$AI$13:$AI$17,0)))</f>
        <v/>
      </c>
      <c r="I17" s="352" t="e">
        <f t="shared" si="0"/>
        <v>#VALUE!</v>
      </c>
      <c r="J17" s="353" t="str">
        <f>IF(ISNA(MATCH(B17,'Parties groupes_V'!$AI$13:$AI$17,0)),"",INDEX('Parties groupes_V'!$AO$13:$AO$17,MATCH(B17,'Parties groupes_V'!$AI$13:$AI$17,0)))</f>
        <v/>
      </c>
      <c r="K17" s="358" t="str">
        <f>IF(ISNA(MATCH(B17,'Parties groupes_V'!$AU$13:$AU$17,0)),"",INDEX('Parties groupes_V'!$AT$13:$AT$17,MATCH(B17,'Parties groupes_V'!$AU$13:$AU$17,0)))</f>
        <v/>
      </c>
      <c r="L17" s="363">
        <f>IF((D17=""),"",IF((K17=1),6,IF((K17=2),4,IF((K17=3),2,0))))</f>
        <v>0</v>
      </c>
      <c r="M17" s="361" t="str">
        <f>IF((K17=""),"",IF(OR(K17=1,K17=4,K17=5),"",IF(('Phases Finales'!$D$14=""),"",VLOOKUP(B17,'Phases Finales'!$T$7:$Z$14,4,0))))</f>
        <v/>
      </c>
      <c r="N17" s="180" t="str">
        <f>IF((K17=""),"",IF(OR(K17=2,K17=3,K17=4,K17=5),"",IF(('Phases Finales'!$I$14=""),"",VLOOKUP(B17,'Phases Finales'!$X$8:$AA$13,4,0))))</f>
        <v/>
      </c>
      <c r="O17" s="77" t="str">
        <f>IF(OR(N17="",N17=0),"",VLOOKUP(B17,'Phases Finales'!$AB$10:$AE$11,4,0))</f>
        <v/>
      </c>
      <c r="P17" s="174">
        <f>IF((E17=""),"",SUM(F17,L17,M17,N17,O17))</f>
        <v>0</v>
      </c>
    </row>
    <row r="18" spans="1:16" ht="24.95" customHeight="1" thickBot="1">
      <c r="A18" s="78"/>
      <c r="B18" s="82"/>
      <c r="C18" s="79"/>
      <c r="D18" s="79"/>
      <c r="E18" s="79"/>
      <c r="F18" s="80"/>
      <c r="G18" s="55"/>
      <c r="K18" s="79"/>
      <c r="L18" s="81"/>
      <c r="M18" s="81"/>
      <c r="N18" s="81"/>
      <c r="O18" s="81"/>
      <c r="P18" s="164"/>
    </row>
    <row r="19" spans="1:16" ht="24.95" customHeight="1">
      <c r="A19" s="542">
        <v>3</v>
      </c>
      <c r="B19" s="181" t="str">
        <f>+'Parties groupes_V'!I19</f>
        <v>SIEGEL Mathias</v>
      </c>
      <c r="C19" s="346">
        <f>INDEX('Parties groupes_V'!$K$19:$K$23,MATCH(B19,'Parties groupes_V'!$I$19:$I$23,0))</f>
        <v>0</v>
      </c>
      <c r="D19" s="347">
        <f>INDEX('Parties groupes_V'!$T$19:$T$23,MATCH(B19,'Parties groupes_V'!$R$19:$R$23,0))</f>
        <v>0</v>
      </c>
      <c r="E19" s="348">
        <f>INDEX('Parties groupes_V'!$AC$19:$AC$23,MATCH(B19,'Parties groupes_V'!$AA$19:$AA$23,0))</f>
        <v>0</v>
      </c>
      <c r="F19" s="338">
        <f>IF((C19=""),"",SUM(C19:E19))</f>
        <v>0</v>
      </c>
      <c r="G19" s="346" t="str">
        <f>IF(ISNA(MATCH(B19,'Parties groupes_V'!$AI$19:$AI$23,0)),"",INDEX('Parties groupes_V'!$AL$19:$AL$23,MATCH(B19,'Parties groupes_V'!$AI$19:$AI$23,0)))</f>
        <v/>
      </c>
      <c r="H19" s="347" t="str">
        <f>IF(ISNA(MATCH(B19,'Parties groupes_V'!$AI$19:$AI$23,0)),"",INDEX('Parties groupes_V'!$AM$19:$AM$23,MATCH(B19,'Parties groupes_V'!$AI$19:$AI$23,0)))</f>
        <v/>
      </c>
      <c r="I19" s="347" t="e">
        <f t="shared" si="0"/>
        <v>#VALUE!</v>
      </c>
      <c r="J19" s="348" t="str">
        <f>IF(ISNA(MATCH(B19,'Parties groupes_V'!$AI$19:$AI$23,0)),"",INDEX('Parties groupes_V'!$AO$19:$AO$23,MATCH(B19,'Parties groupes_V'!$AI$19:$AI$23,0)))</f>
        <v/>
      </c>
      <c r="K19" s="355" t="str">
        <f>IF(ISNA(MATCH(B19,'Parties groupes_V'!$AU$19:$AU$23,0)),"",INDEX('Parties groupes_V'!$AT$19:$AT$23,MATCH(B19,'Parties groupes_V'!$AU$19:$AU$23,0)))</f>
        <v/>
      </c>
      <c r="L19" s="364">
        <f>IF((D19=""),"",IF((K19=1),6,IF((K19=2),4,IF((K19=3),2,0))))</f>
        <v>0</v>
      </c>
      <c r="M19" s="359" t="str">
        <f>IF((K19=""),"",IF(OR(K19=1,K19=4,K19=5),"",IF(('Phases Finales'!$D$14=""),"",VLOOKUP(B19,'Phases Finales'!$T$7:$Z$14,4,0))))</f>
        <v/>
      </c>
      <c r="N19" s="179" t="str">
        <f>IF((K19=""),"",IF(OR(K19=2,K19=3,K19=4,K19=5),"",IF(('Phases Finales'!$I$14=""),"",VLOOKUP(B19,'Phases Finales'!$X$8:$AA$13,4,0))))</f>
        <v/>
      </c>
      <c r="O19" s="176" t="str">
        <f>IF(OR(N19="",N19=0),"",VLOOKUP(B19,'Phases Finales'!$AB$10:$AE$11,4,0))</f>
        <v/>
      </c>
      <c r="P19" s="173">
        <f>IF((E19=""),"",SUM(F19,L19,M19,N19,O19))</f>
        <v>0</v>
      </c>
    </row>
    <row r="20" spans="1:16" ht="24.95" customHeight="1">
      <c r="A20" s="543"/>
      <c r="B20" s="73" t="str">
        <f>+'Parties groupes_V'!I20</f>
        <v>YANEZ José</v>
      </c>
      <c r="C20" s="349">
        <f>INDEX('Parties groupes_V'!$K$19:$K$23,MATCH(B20,'Parties groupes_V'!$I$19:$I$23,0))</f>
        <v>0</v>
      </c>
      <c r="D20" s="183">
        <f>INDEX('Parties groupes_V'!$T$19:$T$23,MATCH(B20,'Parties groupes_V'!$R$19:$R$23,0))</f>
        <v>0</v>
      </c>
      <c r="E20" s="350">
        <f>INDEX('Parties groupes_V'!$AC$19:$AC$23,MATCH(B20,'Parties groupes_V'!$AA$19:$AA$23,0))</f>
        <v>0</v>
      </c>
      <c r="F20" s="339">
        <f>IF((C20=""),"",SUM(C20:E20))</f>
        <v>0</v>
      </c>
      <c r="G20" s="349" t="str">
        <f>IF(ISNA(MATCH(B20,'Parties groupes_V'!$AI$19:$AI$23,0)),"",INDEX('Parties groupes_V'!$AL$19:$AL$23,MATCH(B20,'Parties groupes_V'!$AI$19:$AI$23,0)))</f>
        <v/>
      </c>
      <c r="H20" s="183" t="str">
        <f>IF(ISNA(MATCH(B20,'Parties groupes_V'!$AI$19:$AI$23,0)),"",INDEX('Parties groupes_V'!$AM$19:$AM$23,MATCH(B20,'Parties groupes_V'!$AI$19:$AI$23,0)))</f>
        <v/>
      </c>
      <c r="I20" s="183" t="e">
        <f t="shared" si="0"/>
        <v>#VALUE!</v>
      </c>
      <c r="J20" s="350" t="str">
        <f>IF(ISNA(MATCH(B20,'Parties groupes_V'!$AI$19:$AI$23,0)),"",INDEX('Parties groupes_V'!$AO$19:$AO$23,MATCH(B20,'Parties groupes_V'!$AI$19:$AI$23,0)))</f>
        <v/>
      </c>
      <c r="K20" s="356" t="str">
        <f>IF(ISNA(MATCH(B20,'Parties groupes_V'!$AU$19:$AU$23,0)),"",INDEX('Parties groupes_V'!$AT$19:$AT$23,MATCH(B20,'Parties groupes_V'!$AU$19:$AU$23,0)))</f>
        <v/>
      </c>
      <c r="L20" s="356">
        <f t="shared" ref="L20:L23" si="1">IF((D20=""),"",IF((K20=1),6,IF((K20=2),4,IF((K20=3),2,0))))</f>
        <v>0</v>
      </c>
      <c r="M20" s="360" t="str">
        <f>IF((K20=""),"",IF(OR(K20=1,K20=4,K20=5),"",IF(('Phases Finales'!$D$14=""),"",VLOOKUP(B20,'Phases Finales'!$T$7:$Z$14,4,0))))</f>
        <v/>
      </c>
      <c r="N20" s="72" t="str">
        <f>IF((K20=""),"",IF(OR(K20=2,K20=3,K20=4,K20=5),"",IF(('Phases Finales'!$I$14=""),"",VLOOKUP(B20,'Phases Finales'!$X$8:$AA$13,4,0))))</f>
        <v/>
      </c>
      <c r="O20" s="75" t="str">
        <f>IF(OR(N20="",N20=0),"",VLOOKUP(B20,'Phases Finales'!$AB$10:$AE$11,4,0))</f>
        <v/>
      </c>
      <c r="P20" s="172">
        <f>IF((E20=""),"",SUM(F20,L20,M20,N20,O20))</f>
        <v>0</v>
      </c>
    </row>
    <row r="21" spans="1:16" ht="24.95" customHeight="1">
      <c r="A21" s="543"/>
      <c r="B21" s="73" t="str">
        <f>+'Parties groupes_V'!I21</f>
        <v>REYNAUD DENIS</v>
      </c>
      <c r="C21" s="349">
        <f>INDEX('Parties groupes_V'!$K$19:$K$23,MATCH(B21,'Parties groupes_V'!$I$19:$I$23,0))</f>
        <v>0</v>
      </c>
      <c r="D21" s="183">
        <f>INDEX('Parties groupes_V'!$T$19:$T$23,MATCH(B21,'Parties groupes_V'!$R$19:$R$23,0))</f>
        <v>0</v>
      </c>
      <c r="E21" s="350">
        <f>INDEX('Parties groupes_V'!$AC$19:$AC$23,MATCH(B21,'Parties groupes_V'!$AA$19:$AA$23,0))</f>
        <v>0</v>
      </c>
      <c r="F21" s="339">
        <f>IF((C21=""),"",SUM(C21:E21))</f>
        <v>0</v>
      </c>
      <c r="G21" s="349" t="str">
        <f>IF(ISNA(MATCH(B21,'Parties groupes_V'!$AI$19:$AI$23,0)),"",INDEX('Parties groupes_V'!$AL$19:$AL$23,MATCH(B21,'Parties groupes_V'!$AI$19:$AI$23,0)))</f>
        <v/>
      </c>
      <c r="H21" s="183" t="str">
        <f>IF(ISNA(MATCH(B21,'Parties groupes_V'!$AI$19:$AI$23,0)),"",INDEX('Parties groupes_V'!$AM$19:$AM$23,MATCH(B21,'Parties groupes_V'!$AI$19:$AI$23,0)))</f>
        <v/>
      </c>
      <c r="I21" s="183" t="e">
        <f t="shared" si="0"/>
        <v>#VALUE!</v>
      </c>
      <c r="J21" s="350" t="str">
        <f>IF(ISNA(MATCH(B21,'Parties groupes_V'!$AI$19:$AI$23,0)),"",INDEX('Parties groupes_V'!$AO$19:$AO$23,MATCH(B21,'Parties groupes_V'!$AI$19:$AI$23,0)))</f>
        <v/>
      </c>
      <c r="K21" s="357" t="str">
        <f>IF(ISNA(MATCH(B21,'Parties groupes_V'!$AU$19:$AU$23,0)),"",INDEX('Parties groupes_V'!$AT$19:$AT$23,MATCH(B21,'Parties groupes_V'!$AU$19:$AU$23,0)))</f>
        <v/>
      </c>
      <c r="L21" s="356">
        <f t="shared" si="1"/>
        <v>0</v>
      </c>
      <c r="M21" s="360" t="str">
        <f>IF((K21=""),"",IF(OR(K21=1,K21=4,K21=5),"",IF(('Phases Finales'!$D$14=""),"",VLOOKUP(B21,'Phases Finales'!$T$7:$Z$14,4,0))))</f>
        <v/>
      </c>
      <c r="N21" s="72" t="str">
        <f>IF((K21=""),"",IF(OR(K21=2,K21=3,K21=4,K21=5),"",IF(('Phases Finales'!$I$14=""),"",VLOOKUP(B21,'Phases Finales'!$X$8:$AA$13,4,0))))</f>
        <v/>
      </c>
      <c r="O21" s="75" t="str">
        <f>IF(OR(N21="",N21=0),"",VLOOKUP(B21,'Phases Finales'!$AB$10:$AE$11,4,0))</f>
        <v/>
      </c>
      <c r="P21" s="172">
        <f>IF((E21=""),"",SUM(F21,L21,M21,N21,O21))</f>
        <v>0</v>
      </c>
    </row>
    <row r="22" spans="1:16" ht="24.95" customHeight="1">
      <c r="A22" s="543"/>
      <c r="B22" s="73" t="str">
        <f>+'Parties groupes_V'!I22</f>
        <v>POULAIN Paul</v>
      </c>
      <c r="C22" s="349">
        <f>INDEX('Parties groupes_V'!$K$19:$K$23,MATCH(B22,'Parties groupes_V'!$I$19:$I$23,0))</f>
        <v>0</v>
      </c>
      <c r="D22" s="183">
        <f>INDEX('Parties groupes_V'!$T$19:$T$23,MATCH(B22,'Parties groupes_V'!$R$19:$R$23,0))</f>
        <v>0</v>
      </c>
      <c r="E22" s="350">
        <f>INDEX('Parties groupes_V'!$AC$19:$AC$23,MATCH(B22,'Parties groupes_V'!$AA$19:$AA$23,0))</f>
        <v>0</v>
      </c>
      <c r="F22" s="339">
        <f>IF((C22=""),"",SUM(C22:E22))</f>
        <v>0</v>
      </c>
      <c r="G22" s="349" t="str">
        <f>IF(ISNA(MATCH(B22,'Parties groupes_V'!$AI$19:$AI$23,0)),"",INDEX('Parties groupes_V'!$AL$19:$AL$23,MATCH(B22,'Parties groupes_V'!$AI$19:$AI$23,0)))</f>
        <v/>
      </c>
      <c r="H22" s="183" t="str">
        <f>IF(ISNA(MATCH(B22,'Parties groupes_V'!$AI$19:$AI$23,0)),"",INDEX('Parties groupes_V'!$AM$19:$AM$23,MATCH(B22,'Parties groupes_V'!$AI$19:$AI$23,0)))</f>
        <v/>
      </c>
      <c r="I22" s="183" t="e">
        <f t="shared" si="0"/>
        <v>#VALUE!</v>
      </c>
      <c r="J22" s="350" t="str">
        <f>IF(ISNA(MATCH(B22,'Parties groupes_V'!$AI$19:$AI$23,0)),"",INDEX('Parties groupes_V'!$AO$19:$AO$23,MATCH(B22,'Parties groupes_V'!$AI$19:$AI$23,0)))</f>
        <v/>
      </c>
      <c r="K22" s="356" t="str">
        <f>IF(ISNA(MATCH(B22,'Parties groupes_V'!$AU$19:$AU$23,0)),"",INDEX('Parties groupes_V'!$AT$19:$AT$23,MATCH(B22,'Parties groupes_V'!$AU$19:$AU$23,0)))</f>
        <v/>
      </c>
      <c r="L22" s="356">
        <f t="shared" si="1"/>
        <v>0</v>
      </c>
      <c r="M22" s="360" t="str">
        <f>IF((K22=""),"",IF(OR(K22=1,K22=4,K22=5),"",IF(('Phases Finales'!$D$14=""),"",VLOOKUP(B22,'Phases Finales'!$T$7:$Z$14,4,0))))</f>
        <v/>
      </c>
      <c r="N22" s="72" t="str">
        <f>IF((K22=""),"",IF(OR(K22=2,K22=3,K22=4,K22=5),"",IF(('Phases Finales'!$I$14=""),"",VLOOKUP(B22,'Phases Finales'!$X$8:$AA$13,4,0))))</f>
        <v/>
      </c>
      <c r="O22" s="75" t="str">
        <f>IF(OR(N22="",N22=0),"",VLOOKUP(B22,'Phases Finales'!$AB$10:$AE$11,4,0))</f>
        <v/>
      </c>
      <c r="P22" s="172">
        <f>IF((E22=""),"",SUM(F22,L22,M22,N22,O22))</f>
        <v>0</v>
      </c>
    </row>
    <row r="23" spans="1:16" ht="24.95" customHeight="1" thickBot="1">
      <c r="A23" s="544"/>
      <c r="B23" s="182" t="str">
        <f>+'Parties groupes_V'!I23</f>
        <v>GAILLARD Jean Louis</v>
      </c>
      <c r="C23" s="351">
        <f>INDEX('Parties groupes_V'!$K$19:$K$23,MATCH(B23,'Parties groupes_V'!$I$19:$I$23,0))</f>
        <v>0</v>
      </c>
      <c r="D23" s="352">
        <f>INDEX('Parties groupes_V'!$T$19:$T$23,MATCH(B23,'Parties groupes_V'!$R$19:$R$23,0))</f>
        <v>0</v>
      </c>
      <c r="E23" s="353">
        <f>INDEX('Parties groupes_V'!$AC$19:$AC$23,MATCH(B23,'Parties groupes_V'!$AA$19:$AA$23,0))</f>
        <v>0</v>
      </c>
      <c r="F23" s="340">
        <f>IF((C23=""),"",SUM(C23:E23))</f>
        <v>0</v>
      </c>
      <c r="G23" s="351" t="str">
        <f>IF(ISNA(MATCH(B23,'Parties groupes_V'!$AI$19:$AI$23,0)),"",INDEX('Parties groupes_V'!$AL$19:$AL$23,MATCH(B23,'Parties groupes_V'!$AI$19:$AI$23,0)))</f>
        <v/>
      </c>
      <c r="H23" s="352" t="str">
        <f>IF(ISNA(MATCH(B23,'Parties groupes_V'!$AI$19:$AI$23,0)),"",INDEX('Parties groupes_V'!$AM$19:$AM$23,MATCH(B23,'Parties groupes_V'!$AI$19:$AI$23,0)))</f>
        <v/>
      </c>
      <c r="I23" s="352" t="e">
        <f t="shared" si="0"/>
        <v>#VALUE!</v>
      </c>
      <c r="J23" s="353" t="str">
        <f>IF(ISNA(MATCH(B23,'Parties groupes_V'!$AI$19:$AI$23,0)),"",INDEX('Parties groupes_V'!$AO$19:$AO$23,MATCH(B23,'Parties groupes_V'!$AI$19:$AI$23,0)))</f>
        <v/>
      </c>
      <c r="K23" s="358" t="str">
        <f>IF(ISNA(MATCH(B23,'Parties groupes_V'!$AU$19:$AU$23,0)),"",INDEX('Parties groupes_V'!$AT$19:$AT$23,MATCH(B23,'Parties groupes_V'!$AU$19:$AU$23,0)))</f>
        <v/>
      </c>
      <c r="L23" s="363">
        <f t="shared" si="1"/>
        <v>0</v>
      </c>
      <c r="M23" s="361" t="str">
        <f>IF((K23=""),"",IF(OR(K23=1,K23=4,K23=5),"",IF(('Phases Finales'!$D$14=""),"",VLOOKUP(B23,'Phases Finales'!$T$7:$Z$14,4,0))))</f>
        <v/>
      </c>
      <c r="N23" s="180" t="str">
        <f>IF((K23=""),"",IF(OR(K23=2,K23=3,K23=4,K23=5),"",IF(('Phases Finales'!$I$14=""),"",VLOOKUP(B23,'Phases Finales'!$X$8:$AA$13,4,0))))</f>
        <v/>
      </c>
      <c r="O23" s="77" t="str">
        <f>IF(OR(N23="",N23=0),"",VLOOKUP(B23,'Phases Finales'!$AB$10:$AE$11,4,0))</f>
        <v/>
      </c>
      <c r="P23" s="174">
        <f>IF((E23=""),"",SUM(F23,L23,M23,N23,O23))</f>
        <v>0</v>
      </c>
    </row>
    <row r="24" spans="1:16" ht="24.95" customHeight="1" thickBot="1">
      <c r="A24" s="78"/>
      <c r="B24" s="82"/>
      <c r="C24" s="79"/>
      <c r="D24" s="79"/>
      <c r="E24" s="79"/>
      <c r="F24" s="80"/>
      <c r="G24" s="55"/>
      <c r="K24" s="79"/>
      <c r="L24" s="81"/>
      <c r="M24" s="81"/>
      <c r="N24" s="81"/>
      <c r="O24" s="81"/>
      <c r="P24" s="175"/>
    </row>
    <row r="25" spans="1:16" ht="24.95" customHeight="1">
      <c r="A25" s="542">
        <v>4</v>
      </c>
      <c r="B25" s="181" t="str">
        <f>+'Parties groupes_V'!I25</f>
        <v>CHARBONNIER Daniel</v>
      </c>
      <c r="C25" s="346">
        <f>INDEX('Parties groupes_V'!$K$25:$K$29,MATCH(B25,'Parties groupes_V'!$I$25:$I$29,0))</f>
        <v>0</v>
      </c>
      <c r="D25" s="347">
        <f>INDEX('Parties groupes_V'!$T$25:$T$29,MATCH(B25,'Parties groupes_V'!$R$25:$R$29,0))</f>
        <v>0</v>
      </c>
      <c r="E25" s="348">
        <f>INDEX('Parties groupes_V'!$AC$25:$AC$29,MATCH(B25,'Parties groupes_V'!$AA$25:$AA$29,0))</f>
        <v>0</v>
      </c>
      <c r="F25" s="338">
        <f>IF((C25=""),"",SUM(C25:E25))</f>
        <v>0</v>
      </c>
      <c r="G25" s="346" t="str">
        <f>IF(ISNA(MATCH(B25,'Parties groupes_V'!$AI$25:$AI$29,0)),"",INDEX('Parties groupes_V'!$AL$25:$AL$29,MATCH(B25,'Parties groupes_V'!$AI$25:$AI$29,0)))</f>
        <v/>
      </c>
      <c r="H25" s="347" t="str">
        <f>IF(ISNA(MATCH(B25,'Parties groupes_V'!$AI$25:$AI$29,0)),"",INDEX('Parties groupes_V'!$AM$25:$AM$29,MATCH(B25,'Parties groupes_V'!$AI$25:$AI$29,0)))</f>
        <v/>
      </c>
      <c r="I25" s="347" t="e">
        <f t="shared" si="0"/>
        <v>#VALUE!</v>
      </c>
      <c r="J25" s="348" t="str">
        <f>IF(ISNA(MATCH(B25,'Parties groupes_V'!$AI$25:$AI$29,0)),"",INDEX('Parties groupes_V'!$AO$25:$AO$29,MATCH(B25,'Parties groupes_V'!$AI$25:$AI$29,0)))</f>
        <v/>
      </c>
      <c r="K25" s="344" t="str">
        <f>IF(ISNA(MATCH(B25,'Parties groupes_V'!$AU$25:$AU$29,0)),"",INDEX('Parties groupes_V'!$AT$25:$AT$29,MATCH(B25,'Parties groupes_V'!$AU$25:$AU$29,0)))</f>
        <v/>
      </c>
      <c r="L25" s="364">
        <f>IF((D25=""),"",IF((K25=1),6,IF((K25=2),4,IF((K25=3),2,0))))</f>
        <v>0</v>
      </c>
      <c r="M25" s="359" t="str">
        <f>IF((K25=""),"",IF(OR(K25=1,K25=4,K25=5),"",IF(('Phases Finales'!$D$14=""),"",VLOOKUP(B25,'Phases Finales'!$T$7:$Z$14,4,0))))</f>
        <v/>
      </c>
      <c r="N25" s="179" t="str">
        <f>IF((K25=""),"",IF(OR(K25=2,K25=3,K25=4,K25=5),"",IF(('Phases Finales'!$I$14=""),"",VLOOKUP(B25,'Phases Finales'!$X$8:$AA$13,4,0))))</f>
        <v/>
      </c>
      <c r="O25" s="176" t="str">
        <f>IF(OR(N25="",N25=0),"",VLOOKUP(B25,'Phases Finales'!$AB$10:$AE$11,4,0))</f>
        <v/>
      </c>
      <c r="P25" s="173">
        <f>IF((E25=""),"",SUM(F25,L25,M25,N25,O25))</f>
        <v>0</v>
      </c>
    </row>
    <row r="26" spans="1:16" ht="24.95" customHeight="1">
      <c r="A26" s="543"/>
      <c r="B26" s="73" t="str">
        <f>+'Parties groupes_V'!I26</f>
        <v>BROUSSARD David</v>
      </c>
      <c r="C26" s="349">
        <f>INDEX('Parties groupes_V'!$K$25:$K$29,MATCH(B26,'Parties groupes_V'!$I$25:$I$29,0))</f>
        <v>0</v>
      </c>
      <c r="D26" s="183">
        <f>INDEX('Parties groupes_V'!$T$25:$T$29,MATCH(B26,'Parties groupes_V'!$R$25:$R$29,0))</f>
        <v>0</v>
      </c>
      <c r="E26" s="350">
        <f>INDEX('Parties groupes_V'!$AC$25:$AC$29,MATCH(B26,'Parties groupes_V'!$AA$25:$AA$29,0))</f>
        <v>0</v>
      </c>
      <c r="F26" s="339">
        <f>IF((C26=""),"",SUM(C26:E26))</f>
        <v>0</v>
      </c>
      <c r="G26" s="349" t="str">
        <f>IF(ISNA(MATCH(B26,'Parties groupes_V'!$AI$25:$AI$29,0)),"",INDEX('Parties groupes_V'!$AL$25:$AL$29,MATCH(B26,'Parties groupes_V'!$AI$25:$AI$29,0)))</f>
        <v/>
      </c>
      <c r="H26" s="183" t="str">
        <f>IF(ISNA(MATCH(B26,'Parties groupes_V'!$AI$25:$AI$29,0)),"",INDEX('Parties groupes_V'!$AM$25:$AM$29,MATCH(B26,'Parties groupes_V'!$AI$25:$AI$29,0)))</f>
        <v/>
      </c>
      <c r="I26" s="183" t="e">
        <f t="shared" si="0"/>
        <v>#VALUE!</v>
      </c>
      <c r="J26" s="350" t="str">
        <f>IF(ISNA(MATCH(B26,'Parties groupes_V'!$AI$25:$AI$29,0)),"",INDEX('Parties groupes_V'!$AO$25:$AO$29,MATCH(B26,'Parties groupes_V'!$AI$25:$AI$29,0)))</f>
        <v/>
      </c>
      <c r="K26" s="365" t="str">
        <f>IF(ISNA(MATCH(B26,'Parties groupes_V'!$AU$25:$AU$29,0)),"",INDEX('Parties groupes_V'!$AT$25:$AT$29,MATCH(B26,'Parties groupes_V'!$AU$25:$AU$29,0)))</f>
        <v/>
      </c>
      <c r="L26" s="356">
        <f t="shared" ref="L26:L29" si="2">IF((D26=""),"",IF((K26=1),6,IF((K26=2),4,IF((K26=3),2,0))))</f>
        <v>0</v>
      </c>
      <c r="M26" s="360" t="str">
        <f>IF((K26=""),"",IF(OR(K26=1,K26=4,K26=5),"",IF(('Phases Finales'!$D$14=""),"",VLOOKUP(B26,'Phases Finales'!$T$7:$Z$14,4,0))))</f>
        <v/>
      </c>
      <c r="N26" s="72" t="str">
        <f>IF((K26=""),"",IF(OR(K26=2,K26=3,K26=4,K26=5),"",IF(('Phases Finales'!$I$14=""),"",VLOOKUP(B26,'Phases Finales'!$X$8:$AA$13,4,0))))</f>
        <v/>
      </c>
      <c r="O26" s="75" t="str">
        <f>IF(OR(N26="",N26=0),"",VLOOKUP(B26,'Phases Finales'!$AB$10:$AE$11,4,0))</f>
        <v/>
      </c>
      <c r="P26" s="172">
        <f>IF((E26=""),"",SUM(F26,L26,M26,N26,O26))</f>
        <v>0</v>
      </c>
    </row>
    <row r="27" spans="1:16" ht="24.95" customHeight="1">
      <c r="A27" s="543"/>
      <c r="B27" s="73" t="str">
        <f>+'Parties groupes_V'!I27</f>
        <v>BESSON Alain</v>
      </c>
      <c r="C27" s="349">
        <f>INDEX('Parties groupes_V'!$K$25:$K$29,MATCH(B27,'Parties groupes_V'!$I$25:$I$29,0))</f>
        <v>0</v>
      </c>
      <c r="D27" s="183">
        <f>INDEX('Parties groupes_V'!$T$25:$T$29,MATCH(B27,'Parties groupes_V'!$R$25:$R$29,0))</f>
        <v>0</v>
      </c>
      <c r="E27" s="350">
        <f>INDEX('Parties groupes_V'!$AC$25:$AC$29,MATCH(B27,'Parties groupes_V'!$AA$25:$AA$29,0))</f>
        <v>0</v>
      </c>
      <c r="F27" s="339">
        <f>IF((C27=""),"",SUM(C27:E27))</f>
        <v>0</v>
      </c>
      <c r="G27" s="349" t="str">
        <f>IF(ISNA(MATCH(B27,'Parties groupes_V'!$AI$25:$AI$29,0)),"",INDEX('Parties groupes_V'!$AL$25:$AL$29,MATCH(B27,'Parties groupes_V'!$AI$25:$AI$29,0)))</f>
        <v/>
      </c>
      <c r="H27" s="183" t="str">
        <f>IF(ISNA(MATCH(B27,'Parties groupes_V'!$AI$25:$AI$29,0)),"",INDEX('Parties groupes_V'!$AM$25:$AM$29,MATCH(B27,'Parties groupes_V'!$AI$25:$AI$29,0)))</f>
        <v/>
      </c>
      <c r="I27" s="183" t="e">
        <f t="shared" si="0"/>
        <v>#VALUE!</v>
      </c>
      <c r="J27" s="350" t="str">
        <f>IF(ISNA(MATCH(B27,'Parties groupes_V'!$AI$25:$AI$29,0)),"",INDEX('Parties groupes_V'!$AO$25:$AO$29,MATCH(B27,'Parties groupes_V'!$AI$25:$AI$29,0)))</f>
        <v/>
      </c>
      <c r="K27" s="79" t="str">
        <f>IF(ISNA(MATCH(B27,'Parties groupes_V'!$AU$25:$AU$29,0)),"",INDEX('Parties groupes_V'!$AT$25:$AT$29,MATCH(B27,'Parties groupes_V'!$AU$25:$AU$29,0)))</f>
        <v/>
      </c>
      <c r="L27" s="356">
        <f t="shared" si="2"/>
        <v>0</v>
      </c>
      <c r="M27" s="360" t="str">
        <f>IF((K27=""),"",IF(OR(K27=1,K27=4,K27=5),"",IF(('Phases Finales'!$D$14=""),"",VLOOKUP(B27,'Phases Finales'!$T$7:$Z$14,4,0))))</f>
        <v/>
      </c>
      <c r="N27" s="72" t="str">
        <f>IF((K27=""),"",IF(OR(K27=2,K27=3,K27=4,K27=5),"",IF(('Phases Finales'!$I$14=""),"",VLOOKUP(B27,'Phases Finales'!$X$8:$AA$13,4,0))))</f>
        <v/>
      </c>
      <c r="O27" s="75" t="str">
        <f>IF(OR(N27="",N27=0),"",VLOOKUP(B27,'Phases Finales'!$AB$10:$AE$11,4,0))</f>
        <v/>
      </c>
      <c r="P27" s="172">
        <f>IF((E27=""),"",SUM(F27,L27,M27,N27,O27))</f>
        <v>0</v>
      </c>
    </row>
    <row r="28" spans="1:16" ht="24.95" customHeight="1">
      <c r="A28" s="543"/>
      <c r="B28" s="73" t="str">
        <f>+'Parties groupes_V'!I28</f>
        <v>BARD Philippe</v>
      </c>
      <c r="C28" s="349">
        <f>INDEX('Parties groupes_V'!$K$25:$K$29,MATCH(B28,'Parties groupes_V'!$I$25:$I$29,0))</f>
        <v>0</v>
      </c>
      <c r="D28" s="183">
        <f>INDEX('Parties groupes_V'!$T$25:$T$29,MATCH(B28,'Parties groupes_V'!$R$25:$R$29,0))</f>
        <v>0</v>
      </c>
      <c r="E28" s="350">
        <f>INDEX('Parties groupes_V'!$AC$25:$AC$29,MATCH(B28,'Parties groupes_V'!$AA$25:$AA$29,0))</f>
        <v>0</v>
      </c>
      <c r="F28" s="339">
        <f>IF((C28=""),"",SUM(C28:E28))</f>
        <v>0</v>
      </c>
      <c r="G28" s="349" t="str">
        <f>IF(ISNA(MATCH(B28,'Parties groupes_V'!$AI$25:$AI$29,0)),"",INDEX('Parties groupes_V'!$AL$25:$AL$29,MATCH(B28,'Parties groupes_V'!$AI$25:$AI$29,0)))</f>
        <v/>
      </c>
      <c r="H28" s="183" t="str">
        <f>IF(ISNA(MATCH(B28,'Parties groupes_V'!$AI$25:$AI$29,0)),"",INDEX('Parties groupes_V'!$AM$25:$AM$29,MATCH(B28,'Parties groupes_V'!$AI$25:$AI$29,0)))</f>
        <v/>
      </c>
      <c r="I28" s="183" t="e">
        <f t="shared" si="0"/>
        <v>#VALUE!</v>
      </c>
      <c r="J28" s="350" t="str">
        <f>IF(ISNA(MATCH(B28,'Parties groupes_V'!$AI$25:$AI$29,0)),"",INDEX('Parties groupes_V'!$AO$25:$AO$29,MATCH(B28,'Parties groupes_V'!$AI$25:$AI$29,0)))</f>
        <v/>
      </c>
      <c r="K28" s="365" t="str">
        <f>IF(ISNA(MATCH(B28,'Parties groupes_V'!$AU$25:$AU$29,0)),"",INDEX('Parties groupes_V'!$AT$25:$AT$29,MATCH(B28,'Parties groupes_V'!$AU$25:$AU$29,0)))</f>
        <v/>
      </c>
      <c r="L28" s="356">
        <f t="shared" si="2"/>
        <v>0</v>
      </c>
      <c r="M28" s="360" t="str">
        <f>IF((K28=""),"",IF(OR(K28=1,K28=4,K28=5),"",IF(('Phases Finales'!$D$14=""),"",VLOOKUP(B28,'Phases Finales'!$T$7:$Z$14,4,0))))</f>
        <v/>
      </c>
      <c r="N28" s="72" t="str">
        <f>IF((K28=""),"",IF(OR(K28=2,K28=3,K28=4,K28=5),"",IF(('Phases Finales'!$I$14=""),"",VLOOKUP(B28,'Phases Finales'!$X$8:$AA$13,4,0))))</f>
        <v/>
      </c>
      <c r="O28" s="75" t="str">
        <f>IF(OR(N28="",N28=0),"",VLOOKUP(B28,'Phases Finales'!$AB$10:$AE$11,4,0))</f>
        <v/>
      </c>
      <c r="P28" s="172">
        <f>IF((E28=""),"",SUM(F28,L28,M28,N28,O28))</f>
        <v>0</v>
      </c>
    </row>
    <row r="29" spans="1:16" ht="24.95" customHeight="1" thickBot="1">
      <c r="A29" s="544"/>
      <c r="B29" s="182" t="str">
        <f>+'Parties groupes_V'!I29</f>
        <v>TRIN Serge</v>
      </c>
      <c r="C29" s="351">
        <f>INDEX('Parties groupes_V'!$K$25:$K$29,MATCH(B29,'Parties groupes_V'!$I$25:$I$29,0))</f>
        <v>0</v>
      </c>
      <c r="D29" s="352">
        <f>INDEX('Parties groupes_V'!$T$25:$T$29,MATCH(B29,'Parties groupes_V'!$R$25:$R$29,0))</f>
        <v>0</v>
      </c>
      <c r="E29" s="353">
        <f>INDEX('Parties groupes_V'!$AC$25:$AC$29,MATCH(B29,'Parties groupes_V'!$AA$25:$AA$29,0))</f>
        <v>0</v>
      </c>
      <c r="F29" s="340">
        <f>IF((C29=""),"",SUM(C29:E29))</f>
        <v>0</v>
      </c>
      <c r="G29" s="351" t="str">
        <f>IF(ISNA(MATCH(B29,'Parties groupes_V'!$AI$25:$AI$29,0)),"",INDEX('Parties groupes_V'!$AL$25:$AL$29,MATCH(B29,'Parties groupes_V'!$AI$25:$AI$29,0)))</f>
        <v/>
      </c>
      <c r="H29" s="352" t="str">
        <f>IF(ISNA(MATCH(B29,'Parties groupes_V'!$AI$25:$AI$29,0)),"",INDEX('Parties groupes_V'!$AM$25:$AM$29,MATCH(B29,'Parties groupes_V'!$AI$25:$AI$29,0)))</f>
        <v/>
      </c>
      <c r="I29" s="352" t="e">
        <f t="shared" si="0"/>
        <v>#VALUE!</v>
      </c>
      <c r="J29" s="353" t="str">
        <f>IF(ISNA(MATCH(B29,'Parties groupes_V'!$AI$25:$AI$29,0)),"",INDEX('Parties groupes_V'!$AO$25:$AO$29,MATCH(B29,'Parties groupes_V'!$AI$25:$AI$29,0)))</f>
        <v/>
      </c>
      <c r="K29" s="345" t="str">
        <f>IF(ISNA(MATCH(B29,'Parties groupes_V'!$AU$25:$AU$29,0)),"",INDEX('Parties groupes_V'!$AT$25:$AT$29,MATCH(B29,'Parties groupes_V'!$AU$25:$AU$29,0)))</f>
        <v/>
      </c>
      <c r="L29" s="363">
        <f t="shared" si="2"/>
        <v>0</v>
      </c>
      <c r="M29" s="361" t="str">
        <f>IF((K29=""),"",IF(OR(K29=1,K29=4,K29=5),"",IF(('Phases Finales'!$D$14=""),"",VLOOKUP(B29,'Phases Finales'!$T$7:$Z$14,4,0))))</f>
        <v/>
      </c>
      <c r="N29" s="180" t="str">
        <f>IF((K29=""),"",IF(OR(K29=2,K29=3,K29=4,K29=5),"",IF(('Phases Finales'!$I$14=""),"",VLOOKUP(B29,'Phases Finales'!$X$8:$AA$13,4,0))))</f>
        <v/>
      </c>
      <c r="O29" s="77" t="str">
        <f>IF(OR(N29="",N29=0),"",VLOOKUP(B29,'Phases Finales'!$AB$10:$AE$11,4,0))</f>
        <v/>
      </c>
      <c r="P29" s="174">
        <f>IF((E29=""),"",SUM(F29,L29,M29,N29,O29))</f>
        <v>0</v>
      </c>
    </row>
    <row r="30" spans="1:16">
      <c r="I30" s="166"/>
    </row>
    <row r="31" spans="1:16">
      <c r="C31" s="166">
        <f>SUM(C7:C29)</f>
        <v>0</v>
      </c>
      <c r="D31" s="166">
        <f t="shared" ref="D31:E31" si="3">SUM(D7:D29)</f>
        <v>0</v>
      </c>
      <c r="E31" s="166">
        <f t="shared" si="3"/>
        <v>0</v>
      </c>
    </row>
    <row r="33" spans="1:16" ht="13.5" thickBot="1"/>
    <row r="34" spans="1:16" ht="27" thickBot="1">
      <c r="A34" s="44"/>
      <c r="B34" s="378"/>
      <c r="C34" s="545" t="s">
        <v>52</v>
      </c>
      <c r="D34" s="546"/>
      <c r="E34" s="546"/>
      <c r="F34" s="546"/>
      <c r="G34" s="546"/>
      <c r="H34" s="546"/>
      <c r="I34" s="546"/>
      <c r="J34" s="546"/>
      <c r="K34" s="546"/>
      <c r="L34" s="547"/>
      <c r="M34" s="548" t="s">
        <v>53</v>
      </c>
      <c r="N34" s="546"/>
      <c r="O34" s="546"/>
      <c r="P34" s="549"/>
    </row>
    <row r="35" spans="1:16" ht="32.25" thickBot="1">
      <c r="A35" s="44"/>
      <c r="B35" s="378"/>
      <c r="C35" s="66" t="s">
        <v>54</v>
      </c>
      <c r="D35" s="67" t="s">
        <v>55</v>
      </c>
      <c r="E35" s="67" t="s">
        <v>56</v>
      </c>
      <c r="F35" s="68" t="s">
        <v>57</v>
      </c>
      <c r="G35" s="68" t="s">
        <v>58</v>
      </c>
      <c r="H35" s="68" t="s">
        <v>59</v>
      </c>
      <c r="I35" s="68" t="s">
        <v>60</v>
      </c>
      <c r="J35" s="68" t="s">
        <v>80</v>
      </c>
      <c r="K35" s="67" t="s">
        <v>61</v>
      </c>
      <c r="L35" s="67" t="s">
        <v>62</v>
      </c>
      <c r="M35" s="69" t="s">
        <v>63</v>
      </c>
      <c r="N35" s="67" t="s">
        <v>64</v>
      </c>
      <c r="O35" s="70" t="s">
        <v>65</v>
      </c>
      <c r="P35" s="70" t="s">
        <v>66</v>
      </c>
    </row>
    <row r="36" spans="1:16" ht="13.5" thickBo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ht="24.95" customHeight="1">
      <c r="A37" s="552">
        <v>5</v>
      </c>
      <c r="B37" s="443" t="str">
        <f>+'Parties groupes_V'!AI35</f>
        <v xml:space="preserve"> </v>
      </c>
      <c r="C37" s="347" t="e">
        <f>INDEX('Parties groupes_V'!$K$35:$K$40,MATCH(B37,'Parties groupes_V'!$I$35:$I$40,0))</f>
        <v>#N/A</v>
      </c>
      <c r="D37" s="347" t="e">
        <f>INDEX('Parties groupes_V'!$T$35:$T$40,MATCH(B37,'Parties groupes_V'!$R$35:$R$40,0))</f>
        <v>#N/A</v>
      </c>
      <c r="E37" s="347" t="e">
        <f>INDEX('Parties groupes_V'!$AC$35:$AC$40,MATCH(B37,'Parties groupes_V'!$AA$35:$AA$40,0))</f>
        <v>#N/A</v>
      </c>
      <c r="F37" s="456" t="e">
        <f>IF((C37=""),"",SUM(C37:E37))</f>
        <v>#N/A</v>
      </c>
      <c r="G37" s="346">
        <f>IF(ISNA(MATCH(B37,'Parties groupes_V'!$AI$35:$AI$40,0)),"",INDEX('Parties groupes_V'!$AL$35:$AL$40,MATCH(B37,'Parties groupes_V'!$AI$35:$AI$40,0)))</f>
        <v>0</v>
      </c>
      <c r="H37" s="347">
        <f>IF(ISNA(MATCH(B37,'Parties groupes_V'!$AI$35:$AI$40,0)),"",INDEX('Parties groupes_V'!$AM$35:$AM$40,MATCH(B37,'Parties groupes_V'!$AI$35:$AI$40,0)))</f>
        <v>0</v>
      </c>
      <c r="I37" s="347" t="e">
        <f>IF((F37=""),"",(G37-H37))</f>
        <v>#N/A</v>
      </c>
      <c r="J37" s="348">
        <f>IF(ISNA(MATCH(B37,'Parties groupes_V'!$AI$35:$AI$40,0)),"",INDEX('Parties groupes_V'!$AO$35:$AO$40,MATCH(B37,'Parties groupes_V'!$AI$35:$AI$40,0)))</f>
        <v>0</v>
      </c>
      <c r="K37" s="459">
        <f>IF(ISNA(MATCH(B37,'Parties groupes_V'!$AU$35:$AU$40,0)),"",INDEX('Parties groupes_V'!$AT$35:$AT$40,MATCH(B37,'Parties groupes_V'!$AU$35:$AU$40,0)))</f>
        <v>1</v>
      </c>
      <c r="L37" s="413" t="e">
        <f>IF((D37=""),"",IF((K37=1),6,IF((K37=2),4,IF((K37=3),2,0))))</f>
        <v>#N/A</v>
      </c>
      <c r="M37" s="179" t="str">
        <f>IF((K37=""),"",IF(OR(K37=1,K37=4,K37=5),"",IF(('Phases Finales'!$D$34=""),"",VLOOKUP(B37,'Phases Finales'!$T$27:$Z$34,4,0))))</f>
        <v/>
      </c>
      <c r="N37" s="179">
        <f>IF((K37=""),"",IF(OR(K37=2,K37=3,K37=4,K37=5),"",IF(('Phases Finales'!$I$34=""),"",VLOOKUP(B37,'Phases Finales'!$X$27:$AA$34,4,0))))</f>
        <v>8</v>
      </c>
      <c r="O37" s="444">
        <f>IF(OR(N37="",N37=0),"",VLOOKUP(B37,'Phases Finales'!$AB$30:$AF$31,4,0))</f>
        <v>0</v>
      </c>
      <c r="P37" s="445" t="e">
        <f>IF((E37=""),"",SUM(F37,L37,M37,N37,O37))</f>
        <v>#N/A</v>
      </c>
    </row>
    <row r="38" spans="1:16" ht="24.95" customHeight="1">
      <c r="A38" s="553"/>
      <c r="B38" s="446" t="str">
        <f>+'Parties groupes_V'!AI36</f>
        <v xml:space="preserve"> </v>
      </c>
      <c r="C38" s="183" t="e">
        <f>INDEX('Parties groupes_V'!$K$35:$K$40,MATCH(B38,'Parties groupes_V'!$I$35:$I$40,0))</f>
        <v>#N/A</v>
      </c>
      <c r="D38" s="183" t="e">
        <f>INDEX('Parties groupes_V'!$T$35:$T$40,MATCH(B38,'Parties groupes_V'!$R$35:$R$40,0))</f>
        <v>#N/A</v>
      </c>
      <c r="E38" s="183" t="e">
        <f>INDEX('Parties groupes_V'!$AC$35:$AC$40,MATCH(B38,'Parties groupes_V'!$AA$35:$AA$40,0))</f>
        <v>#N/A</v>
      </c>
      <c r="F38" s="457" t="e">
        <f>IF((C38=""),"",SUM(C38:E38))</f>
        <v>#N/A</v>
      </c>
      <c r="G38" s="349">
        <f>IF(ISNA(MATCH(B38,'Parties groupes_V'!$AI$35:$AI$40,0)),"",INDEX('Parties groupes_V'!$AL$35:$AL$40,MATCH(B38,'Parties groupes_V'!$AI$35:$AI$40,0)))</f>
        <v>0</v>
      </c>
      <c r="H38" s="183">
        <f>IF(ISNA(MATCH(B38,'Parties groupes_V'!$AI$35:$AI$40,0)),"",INDEX('Parties groupes_V'!$AM$35:$AM$40,MATCH(B38,'Parties groupes_V'!$AI$35:$AI$40,0)))</f>
        <v>0</v>
      </c>
      <c r="I38" s="183" t="e">
        <f t="shared" ref="I38:I59" si="4">IF((F38=""),"",(G38-H38))</f>
        <v>#N/A</v>
      </c>
      <c r="J38" s="350">
        <f>IF(ISNA(MATCH(B38,'Parties groupes_V'!$AI$35:$AI$40,0)),"",INDEX('Parties groupes_V'!$AO$35:$AO$40,MATCH(B38,'Parties groupes_V'!$AI$35:$AI$40,0)))</f>
        <v>0</v>
      </c>
      <c r="K38" s="460">
        <f>IF(ISNA(MATCH(B38,'Parties groupes_V'!$AU$35:$AU$40,0)),"",INDEX('Parties groupes_V'!$AT$35:$AT$40,MATCH(B38,'Parties groupes_V'!$AU$35:$AU$40,0)))</f>
        <v>1</v>
      </c>
      <c r="L38" s="365" t="e">
        <f>IF((D38=""),"",IF((K38=1),6,IF((K38=2),4,IF((K38=3),2,0))))</f>
        <v>#N/A</v>
      </c>
      <c r="M38" s="72" t="str">
        <f>IF((K38=""),"",IF(OR(K38=1,K38=4,K38=5),"",IF(('Phases Finales'!$D$34=""),"",VLOOKUP(B38,'Phases Finales'!$T$27:$Z$34,4,0))))</f>
        <v/>
      </c>
      <c r="N38" s="72">
        <f>IF((K38=""),"",IF(OR(K38=2,K38=3,K38=4,K38=5),"",IF(('Phases Finales'!$I$34=""),"",VLOOKUP(B38,'Phases Finales'!$X$27:$AA$34,4,0))))</f>
        <v>8</v>
      </c>
      <c r="O38" s="370">
        <f>IF(OR(N38="",N38=0),"",VLOOKUP(B38,'Phases Finales'!$AB$30:$AF$31,4,0))</f>
        <v>0</v>
      </c>
      <c r="P38" s="447" t="e">
        <f t="shared" ref="P38:P41" si="5">IF((E38=""),"",SUM(F38,L38,M38,N38,O38))</f>
        <v>#N/A</v>
      </c>
    </row>
    <row r="39" spans="1:16" ht="24.95" customHeight="1">
      <c r="A39" s="553"/>
      <c r="B39" s="446" t="str">
        <f>+'Parties groupes_V'!AI37</f>
        <v xml:space="preserve"> </v>
      </c>
      <c r="C39" s="183" t="e">
        <f>INDEX('Parties groupes_V'!$K$35:$K$40,MATCH(B39,'Parties groupes_V'!$I$35:$I$40,0))</f>
        <v>#N/A</v>
      </c>
      <c r="D39" s="183" t="e">
        <f>INDEX('Parties groupes_V'!$T$35:$T$40,MATCH(B39,'Parties groupes_V'!$R$35:$R$40,0))</f>
        <v>#N/A</v>
      </c>
      <c r="E39" s="183" t="e">
        <f>INDEX('Parties groupes_V'!$AC$35:$AC$40,MATCH(B39,'Parties groupes_V'!$AA$35:$AA$40,0))</f>
        <v>#N/A</v>
      </c>
      <c r="F39" s="457" t="e">
        <f>IF((C39=""),"",SUM(C39:E39))</f>
        <v>#N/A</v>
      </c>
      <c r="G39" s="349">
        <f>IF(ISNA(MATCH(B39,'Parties groupes_V'!$AI$35:$AI$40,0)),"",INDEX('Parties groupes_V'!$AL$35:$AL$40,MATCH(B39,'Parties groupes_V'!$AI$35:$AI$40,0)))</f>
        <v>0</v>
      </c>
      <c r="H39" s="183">
        <f>IF(ISNA(MATCH(B39,'Parties groupes_V'!$AI$35:$AI$40,0)),"",INDEX('Parties groupes_V'!$AM$35:$AM$40,MATCH(B39,'Parties groupes_V'!$AI$35:$AI$40,0)))</f>
        <v>0</v>
      </c>
      <c r="I39" s="183" t="e">
        <f t="shared" si="4"/>
        <v>#N/A</v>
      </c>
      <c r="J39" s="350">
        <f>IF(ISNA(MATCH(B39,'Parties groupes_V'!$AI$35:$AI$40,0)),"",INDEX('Parties groupes_V'!$AO$35:$AO$40,MATCH(B39,'Parties groupes_V'!$AI$35:$AI$40,0)))</f>
        <v>0</v>
      </c>
      <c r="K39" s="460">
        <f>IF(ISNA(MATCH(B39,'Parties groupes_V'!$AU$35:$AU$40,0)),"",INDEX('Parties groupes_V'!$AT$35:$AT$40,MATCH(B39,'Parties groupes_V'!$AU$35:$AU$40,0)))</f>
        <v>1</v>
      </c>
      <c r="L39" s="365" t="e">
        <f>IF((D39=""),"",IF((K39=1),6,IF((K39=2),4,IF((K39=3),2,0))))</f>
        <v>#N/A</v>
      </c>
      <c r="M39" s="72" t="str">
        <f>IF((K39=""),"",IF(OR(K39=1,K39=4,K39=5),"",IF(('Phases Finales'!$D$34=""),"",VLOOKUP(B39,'Phases Finales'!$T$27:$Z$34,4,0))))</f>
        <v/>
      </c>
      <c r="N39" s="72">
        <f>IF((K39=""),"",IF(OR(K39=2,K39=3,K39=4,K39=5),"",IF(('Phases Finales'!$I$34=""),"",VLOOKUP(B39,'Phases Finales'!$X$27:$AA$34,4,0))))</f>
        <v>8</v>
      </c>
      <c r="O39" s="370">
        <f>IF(OR(N39="",N39=0),"",VLOOKUP(B39,'Phases Finales'!$AB$30:$AF$31,4,0))</f>
        <v>0</v>
      </c>
      <c r="P39" s="447" t="e">
        <f t="shared" si="5"/>
        <v>#N/A</v>
      </c>
    </row>
    <row r="40" spans="1:16" ht="24.95" customHeight="1">
      <c r="A40" s="553"/>
      <c r="B40" s="446" t="str">
        <f>+'Parties groupes_V'!AI38</f>
        <v xml:space="preserve"> </v>
      </c>
      <c r="C40" s="183" t="e">
        <f>INDEX('Parties groupes_V'!$K$35:$K$40,MATCH(B40,'Parties groupes_V'!$I$35:$I$40,0))</f>
        <v>#N/A</v>
      </c>
      <c r="D40" s="183" t="e">
        <f>INDEX('Parties groupes_V'!$T$35:$T$40,MATCH(B40,'Parties groupes_V'!$R$35:$R$40,0))</f>
        <v>#N/A</v>
      </c>
      <c r="E40" s="183" t="e">
        <f>INDEX('Parties groupes_V'!$AC$35:$AC$40,MATCH(B40,'Parties groupes_V'!$AA$35:$AA$40,0))</f>
        <v>#N/A</v>
      </c>
      <c r="F40" s="457" t="e">
        <f>IF((C40=""),"",SUM(C40:E40))</f>
        <v>#N/A</v>
      </c>
      <c r="G40" s="349">
        <f>IF(ISNA(MATCH(B40,'Parties groupes_V'!$AI$35:$AI$40,0)),"",INDEX('Parties groupes_V'!$AL$35:$AL$40,MATCH(B40,'Parties groupes_V'!$AI$35:$AI$40,0)))</f>
        <v>0</v>
      </c>
      <c r="H40" s="183">
        <f>IF(ISNA(MATCH(B40,'Parties groupes_V'!$AI$35:$AI$40,0)),"",INDEX('Parties groupes_V'!$AM$35:$AM$40,MATCH(B40,'Parties groupes_V'!$AI$35:$AI$40,0)))</f>
        <v>0</v>
      </c>
      <c r="I40" s="183" t="e">
        <f t="shared" si="4"/>
        <v>#N/A</v>
      </c>
      <c r="J40" s="350">
        <f>IF(ISNA(MATCH(B40,'Parties groupes_V'!$AI$35:$AI$40,0)),"",INDEX('Parties groupes_V'!$AO$35:$AO$40,MATCH(B40,'Parties groupes_V'!$AI$35:$AI$40,0)))</f>
        <v>0</v>
      </c>
      <c r="K40" s="460">
        <f>IF(ISNA(MATCH(B40,'Parties groupes_V'!$AU$35:$AU$40,0)),"",INDEX('Parties groupes_V'!$AT$35:$AT$40,MATCH(B40,'Parties groupes_V'!$AU$35:$AU$40,0)))</f>
        <v>1</v>
      </c>
      <c r="L40" s="365" t="e">
        <f>IF((D40=""),"",IF((K40=1),6,IF((K40=2),4,IF((K40=3),2,0))))</f>
        <v>#N/A</v>
      </c>
      <c r="M40" s="72" t="str">
        <f>IF((K40=""),"",IF(OR(K40=1,K40=4,K40=5),"",IF(('Phases Finales'!$D$34=""),"",VLOOKUP(B40,'Phases Finales'!$T$27:$Z$34,4,0))))</f>
        <v/>
      </c>
      <c r="N40" s="72">
        <f>IF((K40=""),"",IF(OR(K40=2,K40=3,K40=4,K40=5),"",IF(('Phases Finales'!$I$34=""),"",VLOOKUP(B40,'Phases Finales'!$X$27:$AA$34,4,0))))</f>
        <v>8</v>
      </c>
      <c r="O40" s="370">
        <f>IF(OR(N40="",N40=0),"",VLOOKUP(B40,'Phases Finales'!$AB$30:$AF$31,4,0))</f>
        <v>0</v>
      </c>
      <c r="P40" s="447" t="e">
        <f t="shared" si="5"/>
        <v>#N/A</v>
      </c>
    </row>
    <row r="41" spans="1:16" ht="24.95" customHeight="1" thickBot="1">
      <c r="A41" s="554"/>
      <c r="B41" s="448" t="str">
        <f>+'Parties groupes_V'!AI39</f>
        <v xml:space="preserve"> </v>
      </c>
      <c r="C41" s="352" t="e">
        <f>INDEX('Parties groupes_V'!$K$35:$K$40,MATCH(B41,'Parties groupes_V'!$I$35:$I$40,0))</f>
        <v>#N/A</v>
      </c>
      <c r="D41" s="352" t="e">
        <f>INDEX('Parties groupes_V'!$T$35:$T$40,MATCH(B41,'Parties groupes_V'!$R$35:$R$40,0))</f>
        <v>#N/A</v>
      </c>
      <c r="E41" s="352" t="e">
        <f>INDEX('Parties groupes_V'!$AC$35:$AC$40,MATCH(B41,'Parties groupes_V'!$AA$35:$AA$40,0))</f>
        <v>#N/A</v>
      </c>
      <c r="F41" s="458" t="e">
        <f>IF((C41=""),"",SUM(C41:E41))</f>
        <v>#N/A</v>
      </c>
      <c r="G41" s="351">
        <f>IF(ISNA(MATCH(B41,'Parties groupes_V'!$AI$35:$AI$40,0)),"",INDEX('Parties groupes_V'!$AL$35:$AL$40,MATCH(B41,'Parties groupes_V'!$AI$35:$AI$40,0)))</f>
        <v>0</v>
      </c>
      <c r="H41" s="352">
        <f>IF(ISNA(MATCH(B41,'Parties groupes_V'!$AI$35:$AI$40,0)),"",INDEX('Parties groupes_V'!$AM$35:$AM$40,MATCH(B41,'Parties groupes_V'!$AI$35:$AI$40,0)))</f>
        <v>0</v>
      </c>
      <c r="I41" s="352" t="e">
        <f t="shared" si="4"/>
        <v>#N/A</v>
      </c>
      <c r="J41" s="353">
        <f>IF(ISNA(MATCH(B41,'Parties groupes_V'!$AI$35:$AI$40,0)),"",INDEX('Parties groupes_V'!$AO$35:$AO$40,MATCH(B41,'Parties groupes_V'!$AI$35:$AI$40,0)))</f>
        <v>0</v>
      </c>
      <c r="K41" s="461">
        <f>IF(ISNA(MATCH(B41,'Parties groupes_V'!$AU$35:$AU$40,0)),"",INDEX('Parties groupes_V'!$AT$35:$AT$40,MATCH(B41,'Parties groupes_V'!$AU$35:$AU$40,0)))</f>
        <v>1</v>
      </c>
      <c r="L41" s="414" t="e">
        <f>IF((D41=""),"",IF((K41=1),6,IF((K41=2),4,IF((K41=3),2,0))))</f>
        <v>#N/A</v>
      </c>
      <c r="M41" s="180" t="str">
        <f>IF((K41=""),"",IF(OR(K41=1,K41=4,K41=5),"",IF(('Phases Finales'!$D$34=""),"",VLOOKUP(B41,'Phases Finales'!$T$27:$Z$34,4,0))))</f>
        <v/>
      </c>
      <c r="N41" s="180">
        <f>IF((K41=""),"",IF(OR(K41=2,K41=3,K41=4,K41=5),"",IF(('Phases Finales'!$I$34=""),"",VLOOKUP(B41,'Phases Finales'!$X$27:$AA$34,4,0))))</f>
        <v>8</v>
      </c>
      <c r="O41" s="449">
        <f>IF(OR(N41="",N41=0),"",VLOOKUP(B41,'Phases Finales'!$AB$30:$AF$31,4,0))</f>
        <v>0</v>
      </c>
      <c r="P41" s="450" t="e">
        <f t="shared" si="5"/>
        <v>#N/A</v>
      </c>
    </row>
    <row r="42" spans="1:16" ht="24.95" customHeight="1" thickBot="1">
      <c r="A42" s="78"/>
      <c r="B42" s="39"/>
      <c r="C42" s="79"/>
      <c r="D42" s="79"/>
      <c r="E42" s="79"/>
      <c r="F42" s="80"/>
      <c r="G42" s="55"/>
      <c r="K42" s="79"/>
      <c r="L42" s="81"/>
      <c r="M42" s="81"/>
      <c r="N42" s="81"/>
      <c r="O42" s="81"/>
      <c r="P42" s="422"/>
    </row>
    <row r="43" spans="1:16" ht="24.95" customHeight="1">
      <c r="A43" s="552">
        <v>6</v>
      </c>
      <c r="B43" s="443" t="str">
        <f>+'Parties groupes_V'!I41</f>
        <v>FAURITE Michel</v>
      </c>
      <c r="C43" s="451">
        <f>INDEX('Parties groupes_V'!$K$41:$K$45,MATCH(B43,'Parties groupes_V'!$I$41:$I$45,0))</f>
        <v>0</v>
      </c>
      <c r="D43" s="347">
        <f>INDEX('Parties groupes_V'!$T$41:$T$45,MATCH(B43,'Parties groupes_V'!$R$41:$R$45,0))</f>
        <v>0</v>
      </c>
      <c r="E43" s="347">
        <f>INDEX('Parties groupes_V'!$AC$41:$AC$45,MATCH(B43,'Parties groupes_V'!$AA$41:$AA$45,0))</f>
        <v>0</v>
      </c>
      <c r="F43" s="456">
        <f>IF((C43=""),"",SUM(C43:E43))</f>
        <v>0</v>
      </c>
      <c r="G43" s="346" t="str">
        <f>IF(ISNA(MATCH(B43,'Parties groupes_V'!$AI$41:$AI$45,0)),"",INDEX('Parties groupes_V'!$AL$41:$AL$45,MATCH(B43,'Parties groupes_V'!$AI$41:$AI$45,0)))</f>
        <v/>
      </c>
      <c r="H43" s="347" t="str">
        <f>IF(ISNA(MATCH(B43,'Parties groupes_V'!$AI$41:$AI$45,0)),"",INDEX('Parties groupes_V'!$AM$41:$AM$45,MATCH(B43,'Parties groupes_V'!$AI$41:$AI$45,0)))</f>
        <v/>
      </c>
      <c r="I43" s="347" t="e">
        <f t="shared" si="4"/>
        <v>#VALUE!</v>
      </c>
      <c r="J43" s="348" t="str">
        <f>IF(ISNA(MATCH(B43,'Parties groupes_V'!$AI$41:$AI$45,0)),"",INDEX('Parties groupes_V'!$AO$41:$AO$45,MATCH(B43,'Parties groupes_V'!$AI$41:$AI$45,0)))</f>
        <v/>
      </c>
      <c r="K43" s="459" t="str">
        <f>IF(ISNA(MATCH(B43,'Parties groupes_V'!$AU$41:$AU$45,0)),"",INDEX('Parties groupes_V'!$AT$41:$AT$45,MATCH(B43,'Parties groupes_V'!$AU$41:$AU$45,0)))</f>
        <v/>
      </c>
      <c r="L43" s="413">
        <f>IF((D43=""),"",IF((K43=1),6,IF((K43=2),4,IF((K43=3),2,0))))</f>
        <v>0</v>
      </c>
      <c r="M43" s="179" t="str">
        <f>IF((K43=""),"",IF(OR(K43=1,K43=4,K43=5),"",IF(('Phases Finales'!$D$34=""),"",VLOOKUP(B43,'Phases Finales'!$T$27:$Z$34,4,0))))</f>
        <v/>
      </c>
      <c r="N43" s="179" t="str">
        <f>IF((K43=""),"",IF(OR(K43=2,K43=3,K43=4,K43=5),"",IF(('Phases Finales'!$I$34=""),"",VLOOKUP(B43,'Phases Finales'!$X$27:$AA$34,4,0))))</f>
        <v/>
      </c>
      <c r="O43" s="444" t="str">
        <f>IF(OR(N43="",N43=0),"",VLOOKUP(B43,'Phases Finales'!$AB$30:$AF$31,4,0))</f>
        <v/>
      </c>
      <c r="P43" s="445">
        <f>IF((E43=""),"",SUM(F43,L43,M43,N43,O43))</f>
        <v>0</v>
      </c>
    </row>
    <row r="44" spans="1:16" ht="24.95" customHeight="1">
      <c r="A44" s="553"/>
      <c r="B44" s="446" t="str">
        <f>+'Parties groupes_V'!I42</f>
        <v>BOURCIER Didier</v>
      </c>
      <c r="C44" s="415">
        <f>INDEX('Parties groupes_V'!$K$41:$K$45,MATCH(B44,'Parties groupes_V'!$I$41:$I$45,0))</f>
        <v>0</v>
      </c>
      <c r="D44" s="183">
        <f>INDEX('Parties groupes_V'!$T$41:$T$45,MATCH(B44,'Parties groupes_V'!$R$41:$R$45,0))</f>
        <v>0</v>
      </c>
      <c r="E44" s="183">
        <f>INDEX('Parties groupes_V'!$AC$41:$AC$45,MATCH(B44,'Parties groupes_V'!$AA$41:$AA$45,0))</f>
        <v>0</v>
      </c>
      <c r="F44" s="457">
        <f t="shared" ref="F44:F47" si="6">IF((C44=""),"",SUM(C44:E44))</f>
        <v>0</v>
      </c>
      <c r="G44" s="349" t="str">
        <f>IF(ISNA(MATCH(B44,'Parties groupes_V'!$AI$41:$AI$45,0)),"",INDEX('Parties groupes_V'!$AL$41:$AL$45,MATCH(B44,'Parties groupes_V'!$AI$41:$AI$45,0)))</f>
        <v/>
      </c>
      <c r="H44" s="183" t="str">
        <f>IF(ISNA(MATCH(B44,'Parties groupes_V'!$AI$41:$AI$45,0)),"",INDEX('Parties groupes_V'!$AM$41:$AM$45,MATCH(B44,'Parties groupes_V'!$AI$41:$AI$45,0)))</f>
        <v/>
      </c>
      <c r="I44" s="183" t="e">
        <f t="shared" si="4"/>
        <v>#VALUE!</v>
      </c>
      <c r="J44" s="350" t="str">
        <f>IF(ISNA(MATCH(B44,'Parties groupes_V'!$AI$41:$AI$45,0)),"",INDEX('Parties groupes_V'!$AO$41:$AO$45,MATCH(B44,'Parties groupes_V'!$AI$41:$AI$45,0)))</f>
        <v/>
      </c>
      <c r="K44" s="460" t="str">
        <f>IF(ISNA(MATCH(B44,'Parties groupes_V'!$AU$41:$AU$45,0)),"",INDEX('Parties groupes_V'!$AT$41:$AT$45,MATCH(B44,'Parties groupes_V'!$AU$41:$AU$45,0)))</f>
        <v/>
      </c>
      <c r="L44" s="365">
        <f>IF((D44=""),"",IF((K44=1),6,IF((K44=2),4,IF((K44=3),2,0))))</f>
        <v>0</v>
      </c>
      <c r="M44" s="72" t="str">
        <f>IF((K44=""),"",IF(OR(K44=1,K44=4,K44=5),"",IF(('Phases Finales'!$D$34=""),"",VLOOKUP(B44,'Phases Finales'!$T$27:$Z$34,4,0))))</f>
        <v/>
      </c>
      <c r="N44" s="72" t="str">
        <f>IF((K44=""),"",IF(OR(K44=2,K44=3,K44=4,K44=5),"",IF(('Phases Finales'!$I$34=""),"",VLOOKUP(B44,'Phases Finales'!$X$27:$AA$34,4,0))))</f>
        <v/>
      </c>
      <c r="O44" s="370" t="str">
        <f>IF(OR(N44="",N44=0),"",VLOOKUP(B44,'Phases Finales'!$AB$30:$AF$31,4,0))</f>
        <v/>
      </c>
      <c r="P44" s="447">
        <f t="shared" ref="P44:P47" si="7">IF((E44=""),"",SUM(F44,L44,M44,N44,O44))</f>
        <v>0</v>
      </c>
    </row>
    <row r="45" spans="1:16" ht="24.95" customHeight="1">
      <c r="A45" s="553"/>
      <c r="B45" s="446" t="str">
        <f>+'Parties groupes_V'!I43</f>
        <v>DEBEAUX fabrice</v>
      </c>
      <c r="C45" s="415">
        <f>INDEX('Parties groupes_V'!$K$41:$K$45,MATCH(B45,'Parties groupes_V'!$I$41:$I$45,0))</f>
        <v>0</v>
      </c>
      <c r="D45" s="183">
        <f>INDEX('Parties groupes_V'!$T$41:$T$45,MATCH(B45,'Parties groupes_V'!$R$41:$R$45,0))</f>
        <v>0</v>
      </c>
      <c r="E45" s="183">
        <f>INDEX('Parties groupes_V'!$AC$41:$AC$45,MATCH(B45,'Parties groupes_V'!$AA$41:$AA$45,0))</f>
        <v>0</v>
      </c>
      <c r="F45" s="457">
        <f t="shared" si="6"/>
        <v>0</v>
      </c>
      <c r="G45" s="349" t="str">
        <f>IF(ISNA(MATCH(B45,'Parties groupes_V'!$AI$41:$AI$45,0)),"",INDEX('Parties groupes_V'!$AL$41:$AL$45,MATCH(B45,'Parties groupes_V'!$AI$41:$AI$45,0)))</f>
        <v/>
      </c>
      <c r="H45" s="183" t="str">
        <f>IF(ISNA(MATCH(B45,'Parties groupes_V'!$AI$41:$AI$45,0)),"",INDEX('Parties groupes_V'!$AM$41:$AM$45,MATCH(B45,'Parties groupes_V'!$AI$41:$AI$45,0)))</f>
        <v/>
      </c>
      <c r="I45" s="183" t="e">
        <f t="shared" si="4"/>
        <v>#VALUE!</v>
      </c>
      <c r="J45" s="350" t="str">
        <f>IF(ISNA(MATCH(B45,'Parties groupes_V'!$AI$41:$AI$45,0)),"",INDEX('Parties groupes_V'!$AO$41:$AO$45,MATCH(B45,'Parties groupes_V'!$AI$41:$AI$45,0)))</f>
        <v/>
      </c>
      <c r="K45" s="460" t="str">
        <f>IF(ISNA(MATCH(B45,'Parties groupes_V'!$AU$41:$AU$45,0)),"",INDEX('Parties groupes_V'!$AT$41:$AT$45,MATCH(B45,'Parties groupes_V'!$AU$41:$AU$45,0)))</f>
        <v/>
      </c>
      <c r="L45" s="365">
        <f>IF((D45=""),"",IF((K45=1),6,IF((K45=2),4,IF((K45=3),2,0))))</f>
        <v>0</v>
      </c>
      <c r="M45" s="72" t="str">
        <f>IF((K45=""),"",IF(OR(K45=1,K45=4,K45=5),"",IF(('Phases Finales'!$D$34=""),"",VLOOKUP(B45,'Phases Finales'!$T$27:$Z$34,4,0))))</f>
        <v/>
      </c>
      <c r="N45" s="72" t="str">
        <f>IF((K45=""),"",IF(OR(K45=2,K45=3,K45=4,K45=5),"",IF(('Phases Finales'!$I$34=""),"",VLOOKUP(B45,'Phases Finales'!$X$27:$AA$34,4,0))))</f>
        <v/>
      </c>
      <c r="O45" s="370" t="str">
        <f>IF(OR(N45="",N45=0),"",VLOOKUP(B45,'Phases Finales'!$AB$30:$AF$31,4,0))</f>
        <v/>
      </c>
      <c r="P45" s="447">
        <f t="shared" si="7"/>
        <v>0</v>
      </c>
    </row>
    <row r="46" spans="1:16" ht="24.95" customHeight="1">
      <c r="A46" s="553"/>
      <c r="B46" s="446" t="str">
        <f>+'Parties groupes_V'!I44</f>
        <v>BOUVERON Yves</v>
      </c>
      <c r="C46" s="415">
        <f>INDEX('Parties groupes_V'!$K$41:$K$45,MATCH(B46,'Parties groupes_V'!$I$41:$I$45,0))</f>
        <v>0</v>
      </c>
      <c r="D46" s="183">
        <f>INDEX('Parties groupes_V'!$T$41:$T$45,MATCH(B46,'Parties groupes_V'!$R$41:$R$45,0))</f>
        <v>0</v>
      </c>
      <c r="E46" s="183">
        <f>INDEX('Parties groupes_V'!$AC$41:$AC$45,MATCH(B46,'Parties groupes_V'!$AA$41:$AA$45,0))</f>
        <v>0</v>
      </c>
      <c r="F46" s="457">
        <f t="shared" si="6"/>
        <v>0</v>
      </c>
      <c r="G46" s="349" t="str">
        <f>IF(ISNA(MATCH(B46,'Parties groupes_V'!$AI$41:$AI$45,0)),"",INDEX('Parties groupes_V'!$AL$41:$AL$45,MATCH(B46,'Parties groupes_V'!$AI$41:$AI$45,0)))</f>
        <v/>
      </c>
      <c r="H46" s="183" t="str">
        <f>IF(ISNA(MATCH(B46,'Parties groupes_V'!$AI$41:$AI$45,0)),"",INDEX('Parties groupes_V'!$AM$41:$AM$45,MATCH(B46,'Parties groupes_V'!$AI$41:$AI$45,0)))</f>
        <v/>
      </c>
      <c r="I46" s="183" t="e">
        <f t="shared" si="4"/>
        <v>#VALUE!</v>
      </c>
      <c r="J46" s="350" t="str">
        <f>IF(ISNA(MATCH(B46,'Parties groupes_V'!$AI$41:$AI$45,0)),"",INDEX('Parties groupes_V'!$AO$41:$AO$45,MATCH(B46,'Parties groupes_V'!$AI$41:$AI$45,0)))</f>
        <v/>
      </c>
      <c r="K46" s="460" t="str">
        <f>IF(ISNA(MATCH(B46,'Parties groupes_V'!$AU$41:$AU$45,0)),"",INDEX('Parties groupes_V'!$AT$41:$AT$45,MATCH(B46,'Parties groupes_V'!$AU$41:$AU$45,0)))</f>
        <v/>
      </c>
      <c r="L46" s="365">
        <f>IF((D46=""),"",IF((K46=1),6,IF((K46=2),4,IF((K46=3),2,0))))</f>
        <v>0</v>
      </c>
      <c r="M46" s="72" t="str">
        <f>IF((K46=""),"",IF(OR(K46=1,K46=4,K46=5),"",IF(('Phases Finales'!$D$34=""),"",VLOOKUP(B46,'Phases Finales'!$T$27:$Z$34,4,0))))</f>
        <v/>
      </c>
      <c r="N46" s="72" t="str">
        <f>IF((K46=""),"",IF(OR(K46=2,K46=3,K46=4,K46=5),"",IF(('Phases Finales'!$I$34=""),"",VLOOKUP(B46,'Phases Finales'!$X$27:$AA$34,4,0))))</f>
        <v/>
      </c>
      <c r="O46" s="370" t="str">
        <f>IF(OR(N46="",N46=0),"",VLOOKUP(B46,'Phases Finales'!$AB$30:$AF$31,4,0))</f>
        <v/>
      </c>
      <c r="P46" s="447">
        <f t="shared" si="7"/>
        <v>0</v>
      </c>
    </row>
    <row r="47" spans="1:16" ht="24.95" customHeight="1" thickBot="1">
      <c r="A47" s="554"/>
      <c r="B47" s="448" t="str">
        <f>+'Parties groupes_V'!I45</f>
        <v>BIMET Michel</v>
      </c>
      <c r="C47" s="452">
        <f>INDEX('Parties groupes_V'!$K$41:$K$45,MATCH(B47,'Parties groupes_V'!$I$41:$I$45,0))</f>
        <v>0</v>
      </c>
      <c r="D47" s="352">
        <f>INDEX('Parties groupes_V'!$T$41:$T$45,MATCH(B47,'Parties groupes_V'!$R$41:$R$45,0))</f>
        <v>0</v>
      </c>
      <c r="E47" s="352">
        <f>INDEX('Parties groupes_V'!$AC$41:$AC$45,MATCH(B47,'Parties groupes_V'!$AA$41:$AA$45,0))</f>
        <v>0</v>
      </c>
      <c r="F47" s="458">
        <f t="shared" si="6"/>
        <v>0</v>
      </c>
      <c r="G47" s="351" t="str">
        <f>IF(ISNA(MATCH(B47,'Parties groupes_V'!$AI$41:$AI$45,0)),"",INDEX('Parties groupes_V'!$AL$41:$AL$45,MATCH(B47,'Parties groupes_V'!$AI$41:$AI$45,0)))</f>
        <v/>
      </c>
      <c r="H47" s="352" t="str">
        <f>IF(ISNA(MATCH(B47,'Parties groupes_V'!$AI$41:$AI$45,0)),"",INDEX('Parties groupes_V'!$AM$41:$AM$45,MATCH(B47,'Parties groupes_V'!$AI$41:$AI$45,0)))</f>
        <v/>
      </c>
      <c r="I47" s="352" t="e">
        <f t="shared" si="4"/>
        <v>#VALUE!</v>
      </c>
      <c r="J47" s="353" t="str">
        <f>IF(ISNA(MATCH(B47,'Parties groupes_V'!$AI$41:$AI$45,0)),"",INDEX('Parties groupes_V'!$AO$41:$AO$45,MATCH(B47,'Parties groupes_V'!$AI$41:$AI$45,0)))</f>
        <v/>
      </c>
      <c r="K47" s="461" t="str">
        <f>IF(ISNA(MATCH(B47,'Parties groupes_V'!$AU$41:$AU$45,0)),"",INDEX('Parties groupes_V'!$AT$41:$AT$45,MATCH(B47,'Parties groupes_V'!$AU$41:$AU$45,0)))</f>
        <v/>
      </c>
      <c r="L47" s="414">
        <f>IF((D47=""),"",IF((K47=1),6,IF((K47=2),4,IF((K47=3),2,0))))</f>
        <v>0</v>
      </c>
      <c r="M47" s="180" t="str">
        <f>IF((K47=""),"",IF(OR(K47=1,K47=4,K47=5),"",IF(('Phases Finales'!$D$34=""),"",VLOOKUP(B47,'Phases Finales'!$T$27:$Z$34,4,0))))</f>
        <v/>
      </c>
      <c r="N47" s="180" t="str">
        <f>IF((K47=""),"",IF(OR(K47=2,K47=3,K47=4,K47=5),"",IF(('Phases Finales'!$I$34=""),"",VLOOKUP(B47,'Phases Finales'!$X$27:$AA$34,4,0))))</f>
        <v/>
      </c>
      <c r="O47" s="449" t="str">
        <f>IF(OR(N47="",N47=0),"",VLOOKUP(B47,'Phases Finales'!$AB$30:$AF$31,4,0))</f>
        <v/>
      </c>
      <c r="P47" s="450">
        <f t="shared" si="7"/>
        <v>0</v>
      </c>
    </row>
    <row r="48" spans="1:16" ht="24.95" customHeight="1" thickBot="1">
      <c r="A48" s="78"/>
      <c r="B48" s="82"/>
      <c r="C48" s="79"/>
      <c r="D48" s="79"/>
      <c r="E48" s="79"/>
      <c r="F48" s="80"/>
      <c r="G48" s="55"/>
      <c r="K48" s="79"/>
      <c r="L48" s="81"/>
      <c r="M48" s="81"/>
      <c r="N48" s="81"/>
      <c r="O48" s="81"/>
      <c r="P48" s="422"/>
    </row>
    <row r="49" spans="1:16" ht="24.95" customHeight="1" thickBot="1">
      <c r="A49" s="552">
        <v>7</v>
      </c>
      <c r="B49" s="443" t="str">
        <f>+'Parties groupes_V'!I47</f>
        <v>COMBET Philippe</v>
      </c>
      <c r="C49" s="347">
        <f>INDEX('Parties groupes_V'!$K$47:$K$51,MATCH(B49,'Parties groupes_V'!$I$47:$I$51,0))</f>
        <v>0</v>
      </c>
      <c r="D49" s="347">
        <f>INDEX('Parties groupes_V'!$T$47:$T$51,MATCH(B49,'Parties groupes_V'!$R$47:$R$51,0))</f>
        <v>0</v>
      </c>
      <c r="E49" s="347">
        <f>INDEX('Parties groupes_V'!$AC$47:$AC$51,MATCH(B49,'Parties groupes_V'!$AA$47:$AA$51,0))</f>
        <v>0</v>
      </c>
      <c r="F49" s="416">
        <f>IF((C49=""),"",SUM(C49:E49))</f>
        <v>0</v>
      </c>
      <c r="G49" s="346" t="str">
        <f>IF(ISNA(MATCH(B49,'Parties groupes_V'!$AI$47:$AI$51,0)),"",INDEX('Parties groupes_V'!$AL$47:$AL$51,MATCH(B49,'Parties groupes_V'!$AI$47:$AI$51,0)))</f>
        <v/>
      </c>
      <c r="H49" s="347" t="str">
        <f>IF(ISNA(MATCH(B49,'Parties groupes_V'!$AI$47:$AI$51,0)),"",INDEX('Parties groupes_V'!$AM$47:$AM$51,MATCH(B49,'Parties groupes_V'!$AI$47:$AI$51,0)))</f>
        <v/>
      </c>
      <c r="I49" s="347" t="e">
        <f t="shared" si="4"/>
        <v>#VALUE!</v>
      </c>
      <c r="J49" s="348" t="str">
        <f>IF(ISNA(MATCH(B49,'Parties groupes_V'!$AI$47:$AI$51,0)),"",INDEX('Parties groupes_V'!$AO$47:$AO$51,MATCH(B49,'Parties groupes_V'!$AI$47:$AI$51,0)))</f>
        <v/>
      </c>
      <c r="K49" s="412" t="str">
        <f>IF(ISNA(MATCH(B49,'Parties groupes_V'!$AU$47:$AU$51,0)),"",INDEX('Parties groupes_V'!$AT$47:$AT$51,MATCH(B49,'Parties groupes_V'!$AU$47:$AU$51,0)))</f>
        <v/>
      </c>
      <c r="L49" s="419">
        <f>IF((D49=""),"",IF((K49=1),6,IF((K49=2),4,IF((K49=3),2,0))))</f>
        <v>0</v>
      </c>
      <c r="M49" s="179" t="str">
        <f>IF((K49=""),"",IF(OR(K49=1,K49=4,K49=5),"",IF(('Phases Finales'!$D$34=""),"",VLOOKUP(B49,'Phases Finales'!$T$27:$Z$34,4,0))))</f>
        <v/>
      </c>
      <c r="N49" s="179" t="str">
        <f>IF((K49=""),"",IF(OR(K49=2,K49=3,K49=4,K49=5),"",IF(('Phases Finales'!$I$34=""),"",VLOOKUP(B49,'Phases Finales'!$X$27:$AA$34,4,0))))</f>
        <v/>
      </c>
      <c r="O49" s="444" t="str">
        <f>IF(OR(N49="",N49=0),"",VLOOKUP(B49,'Phases Finales'!$AB$30:$AF$31,4,0))</f>
        <v/>
      </c>
      <c r="P49" s="445">
        <f>IF((E49=""),"",SUM(F49,L49,M49,N49,O49))</f>
        <v>0</v>
      </c>
    </row>
    <row r="50" spans="1:16" ht="24.95" customHeight="1" thickBot="1">
      <c r="A50" s="553"/>
      <c r="B50" s="446" t="str">
        <f>+'Parties groupes_V'!I48</f>
        <v>DESMARTIN Sébastien</v>
      </c>
      <c r="C50" s="183">
        <f>INDEX('Parties groupes_V'!$K$47:$K$51,MATCH(B50,'Parties groupes_V'!$I$47:$I$51,0))</f>
        <v>0</v>
      </c>
      <c r="D50" s="183">
        <f>INDEX('Parties groupes_V'!$T$47:$T$51,MATCH(B50,'Parties groupes_V'!$R$47:$R$51,0))</f>
        <v>0</v>
      </c>
      <c r="E50" s="183">
        <f>INDEX('Parties groupes_V'!$AC$47:$AC$51,MATCH(B50,'Parties groupes_V'!$AA$47:$AA$51,0))</f>
        <v>0</v>
      </c>
      <c r="F50" s="417">
        <f>IF((C50=""),"",SUM(C50:E50))</f>
        <v>0</v>
      </c>
      <c r="G50" s="349" t="str">
        <f>IF(ISNA(MATCH(B50,'Parties groupes_V'!$AI$47:$AI$51,0)),"",INDEX('Parties groupes_V'!$AL$47:$AL$51,MATCH(B50,'Parties groupes_V'!$AI$47:$AI$51,0)))</f>
        <v/>
      </c>
      <c r="H50" s="183" t="str">
        <f>IF(ISNA(MATCH(B50,'Parties groupes_V'!$AI$47:$AI$51,0)),"",INDEX('Parties groupes_V'!$AM$47:$AM$51,MATCH(B50,'Parties groupes_V'!$AI$47:$AI$51,0)))</f>
        <v/>
      </c>
      <c r="I50" s="183" t="e">
        <f t="shared" si="4"/>
        <v>#VALUE!</v>
      </c>
      <c r="J50" s="350" t="str">
        <f>IF(ISNA(MATCH(B50,'Parties groupes_V'!$AI$47:$AI$51,0)),"",INDEX('Parties groupes_V'!$AO$47:$AO$51,MATCH(B50,'Parties groupes_V'!$AI$47:$AI$51,0)))</f>
        <v/>
      </c>
      <c r="K50" s="412" t="str">
        <f>IF(ISNA(MATCH(B50,'Parties groupes_V'!$AU$47:$AU$51,0)),"",INDEX('Parties groupes_V'!$AT$47:$AT$51,MATCH(B50,'Parties groupes_V'!$AU$47:$AU$51,0)))</f>
        <v/>
      </c>
      <c r="L50" s="420">
        <f t="shared" ref="L50:L53" si="8">IF((D50=""),"",IF((K50=1),6,IF((K50=2),4,IF((K50=3),2,0))))</f>
        <v>0</v>
      </c>
      <c r="M50" s="72" t="str">
        <f>IF((K50=""),"",IF(OR(K50=1,K50=4,K50=5),"",IF(('Phases Finales'!$D$34=""),"",VLOOKUP(B50,'Phases Finales'!$T$27:$Z$34,4,0))))</f>
        <v/>
      </c>
      <c r="N50" s="72" t="str">
        <f>IF((K50=""),"",IF(OR(K50=2,K50=3,K50=4,K50=5),"",IF(('Phases Finales'!$I$34=""),"",VLOOKUP(B50,'Phases Finales'!$X$27:$AA$34,4,0))))</f>
        <v/>
      </c>
      <c r="O50" s="370" t="str">
        <f>IF(OR(N50="",N50=0),"",VLOOKUP(B50,'Phases Finales'!$AB$30:$AF$31,4,0))</f>
        <v/>
      </c>
      <c r="P50" s="447">
        <f t="shared" ref="P50:P53" si="9">IF((E50=""),"",SUM(F50,L50,M50,N50,O50))</f>
        <v>0</v>
      </c>
    </row>
    <row r="51" spans="1:16" ht="24.95" customHeight="1" thickBot="1">
      <c r="A51" s="553"/>
      <c r="B51" s="446" t="str">
        <f>+'Parties groupes_V'!I49</f>
        <v>MANDON Thierry</v>
      </c>
      <c r="C51" s="183">
        <f>INDEX('Parties groupes_V'!$K$47:$K$51,MATCH(B51,'Parties groupes_V'!$I$47:$I$51,0))</f>
        <v>0</v>
      </c>
      <c r="D51" s="183">
        <f>INDEX('Parties groupes_V'!$T$47:$T$51,MATCH(B51,'Parties groupes_V'!$R$47:$R$51,0))</f>
        <v>0</v>
      </c>
      <c r="E51" s="183">
        <f>INDEX('Parties groupes_V'!$AC$47:$AC$51,MATCH(B51,'Parties groupes_V'!$AA$47:$AA$51,0))</f>
        <v>0</v>
      </c>
      <c r="F51" s="417">
        <f>IF((C51=""),"",SUM(C51:E51))</f>
        <v>0</v>
      </c>
      <c r="G51" s="349" t="str">
        <f>IF(ISNA(MATCH(B51,'Parties groupes_V'!$AI$47:$AI$51,0)),"",INDEX('Parties groupes_V'!$AL$47:$AL$51,MATCH(B51,'Parties groupes_V'!$AI$47:$AI$51,0)))</f>
        <v/>
      </c>
      <c r="H51" s="183" t="str">
        <f>IF(ISNA(MATCH(B51,'Parties groupes_V'!$AI$47:$AI$51,0)),"",INDEX('Parties groupes_V'!$AM$47:$AM$51,MATCH(B51,'Parties groupes_V'!$AI$47:$AI$51,0)))</f>
        <v/>
      </c>
      <c r="I51" s="183" t="e">
        <f t="shared" si="4"/>
        <v>#VALUE!</v>
      </c>
      <c r="J51" s="350" t="str">
        <f>IF(ISNA(MATCH(B51,'Parties groupes_V'!$AI$47:$AI$51,0)),"",INDEX('Parties groupes_V'!$AO$47:$AO$51,MATCH(B51,'Parties groupes_V'!$AI$47:$AI$51,0)))</f>
        <v/>
      </c>
      <c r="K51" s="412" t="str">
        <f>IF(ISNA(MATCH(B51,'Parties groupes_V'!$AU$47:$AU$51,0)),"",INDEX('Parties groupes_V'!$AT$47:$AT$51,MATCH(B51,'Parties groupes_V'!$AU$47:$AU$51,0)))</f>
        <v/>
      </c>
      <c r="L51" s="420">
        <f t="shared" si="8"/>
        <v>0</v>
      </c>
      <c r="M51" s="72" t="str">
        <f>IF((K51=""),"",IF(OR(K51=1,K51=4,K51=5),"",IF(('Phases Finales'!$D$34=""),"",VLOOKUP(B51,'Phases Finales'!$T$27:$Z$34,4,0))))</f>
        <v/>
      </c>
      <c r="N51" s="72" t="str">
        <f>IF((K51=""),"",IF(OR(K51=2,K51=3,K51=4,K51=5),"",IF(('Phases Finales'!$I$34=""),"",VLOOKUP(B51,'Phases Finales'!$X$27:$AA$34,4,0))))</f>
        <v/>
      </c>
      <c r="O51" s="370" t="str">
        <f>IF(OR(N51="",N51=0),"",VLOOKUP(B51,'Phases Finales'!$AB$30:$AF$31,4,0))</f>
        <v/>
      </c>
      <c r="P51" s="447">
        <f t="shared" si="9"/>
        <v>0</v>
      </c>
    </row>
    <row r="52" spans="1:16" ht="24.95" customHeight="1" thickBot="1">
      <c r="A52" s="553"/>
      <c r="B52" s="446" t="str">
        <f>+'Parties groupes_V'!I50</f>
        <v>SAINT ANDRE Stéphane</v>
      </c>
      <c r="C52" s="183">
        <f>INDEX('Parties groupes_V'!$K$47:$K$51,MATCH(B52,'Parties groupes_V'!$I$47:$I$51,0))</f>
        <v>0</v>
      </c>
      <c r="D52" s="183">
        <f>INDEX('Parties groupes_V'!$T$47:$T$51,MATCH(B52,'Parties groupes_V'!$R$47:$R$51,0))</f>
        <v>0</v>
      </c>
      <c r="E52" s="183">
        <f>INDEX('Parties groupes_V'!$AC$47:$AC$51,MATCH(B52,'Parties groupes_V'!$AA$47:$AA$51,0))</f>
        <v>0</v>
      </c>
      <c r="F52" s="417">
        <f>IF((C52=""),"",SUM(C52:E52))</f>
        <v>0</v>
      </c>
      <c r="G52" s="349" t="str">
        <f>IF(ISNA(MATCH(B52,'Parties groupes_V'!$AI$47:$AI$51,0)),"",INDEX('Parties groupes_V'!$AL$47:$AL$51,MATCH(B52,'Parties groupes_V'!$AI$47:$AI$51,0)))</f>
        <v/>
      </c>
      <c r="H52" s="183" t="str">
        <f>IF(ISNA(MATCH(B52,'Parties groupes_V'!$AI$47:$AI$51,0)),"",INDEX('Parties groupes_V'!$AM$47:$AM$51,MATCH(B52,'Parties groupes_V'!$AI$47:$AI$51,0)))</f>
        <v/>
      </c>
      <c r="I52" s="183" t="e">
        <f t="shared" si="4"/>
        <v>#VALUE!</v>
      </c>
      <c r="J52" s="350" t="str">
        <f>IF(ISNA(MATCH(B52,'Parties groupes_V'!$AI$47:$AI$51,0)),"",INDEX('Parties groupes_V'!$AO$47:$AO$51,MATCH(B52,'Parties groupes_V'!$AI$47:$AI$51,0)))</f>
        <v/>
      </c>
      <c r="K52" s="412" t="str">
        <f>IF(ISNA(MATCH(B52,'Parties groupes_V'!$AU$47:$AU$51,0)),"",INDEX('Parties groupes_V'!$AT$47:$AT$51,MATCH(B52,'Parties groupes_V'!$AU$47:$AU$51,0)))</f>
        <v/>
      </c>
      <c r="L52" s="420">
        <f t="shared" si="8"/>
        <v>0</v>
      </c>
      <c r="M52" s="72" t="str">
        <f>IF((K52=""),"",IF(OR(K52=1,K52=4,K52=5),"",IF(('Phases Finales'!$D$34=""),"",VLOOKUP(B52,'Phases Finales'!$T$27:$Z$34,4,0))))</f>
        <v/>
      </c>
      <c r="N52" s="72" t="str">
        <f>IF((K52=""),"",IF(OR(K52=2,K52=3,K52=4,K52=5),"",IF(('Phases Finales'!$I$34=""),"",VLOOKUP(B52,'Phases Finales'!$X$27:$AA$34,4,0))))</f>
        <v/>
      </c>
      <c r="O52" s="370" t="str">
        <f>IF(OR(N52="",N52=0),"",VLOOKUP(B52,'Phases Finales'!$AB$30:$AF$31,4,0))</f>
        <v/>
      </c>
      <c r="P52" s="447">
        <f t="shared" si="9"/>
        <v>0</v>
      </c>
    </row>
    <row r="53" spans="1:16" ht="24.95" customHeight="1" thickBot="1">
      <c r="A53" s="554"/>
      <c r="B53" s="448" t="str">
        <f>+'Parties groupes_V'!I51</f>
        <v>PERRET Didier</v>
      </c>
      <c r="C53" s="352" t="b">
        <f>INDEX('Parties groupes_V'!$K$47:$K$51,MATCH(B53,'Parties groupes_V'!$I$47:$I$51,0))</f>
        <v>0</v>
      </c>
      <c r="D53" s="352">
        <f>INDEX('Parties groupes_V'!$T$47:$T$51,MATCH(B53,'Parties groupes_V'!$R$47:$R$51,0))</f>
        <v>0</v>
      </c>
      <c r="E53" s="352">
        <f>INDEX('Parties groupes_V'!$AC$47:$AC$51,MATCH(B53,'Parties groupes_V'!$AA$47:$AA$51,0))</f>
        <v>0</v>
      </c>
      <c r="F53" s="418">
        <f>IF((C53=""),"",SUM(C53:E53))</f>
        <v>0</v>
      </c>
      <c r="G53" s="351" t="str">
        <f>IF(ISNA(MATCH(B53,'Parties groupes_V'!$AI$47:$AI$51,0)),"",INDEX('Parties groupes_V'!$AL$47:$AL$51,MATCH(B53,'Parties groupes_V'!$AI$47:$AI$51,0)))</f>
        <v/>
      </c>
      <c r="H53" s="352" t="str">
        <f>IF(ISNA(MATCH(B53,'Parties groupes_V'!$AI$47:$AI$51,0)),"",INDEX('Parties groupes_V'!$AM$47:$AM$51,MATCH(B53,'Parties groupes_V'!$AI$47:$AI$51,0)))</f>
        <v/>
      </c>
      <c r="I53" s="352" t="e">
        <f t="shared" si="4"/>
        <v>#VALUE!</v>
      </c>
      <c r="J53" s="353" t="str">
        <f>IF(ISNA(MATCH(B53,'Parties groupes_V'!$AI$47:$AI$51,0)),"",INDEX('Parties groupes_V'!$AO$47:$AO$51,MATCH(B53,'Parties groupes_V'!$AI$47:$AI$51,0)))</f>
        <v/>
      </c>
      <c r="K53" s="453" t="str">
        <f>IF(ISNA(MATCH(B53,'Parties groupes_V'!$AU$47:$AU$51,0)),"",INDEX('Parties groupes_V'!$AT$47:$AT$51,MATCH(B53,'Parties groupes_V'!$AU$47:$AU$51,0)))</f>
        <v/>
      </c>
      <c r="L53" s="421">
        <f t="shared" si="8"/>
        <v>0</v>
      </c>
      <c r="M53" s="180" t="str">
        <f>IF((K53=""),"",IF(OR(K53=1,K53=4,K53=5),"",IF(('Phases Finales'!$D$34=""),"",VLOOKUP(B53,'Phases Finales'!$T$27:$Z$34,4,0))))</f>
        <v/>
      </c>
      <c r="N53" s="180" t="str">
        <f>IF((K53=""),"",IF(OR(K53=2,K53=3,K53=4,K53=5),"",IF(('Phases Finales'!$I$34=""),"",VLOOKUP(B53,'Phases Finales'!$X$27:$AA$34,4,0))))</f>
        <v/>
      </c>
      <c r="O53" s="449" t="str">
        <f>IF(OR(N53="",N53=0),"",VLOOKUP(B53,'Phases Finales'!$AB$30:$AF$31,4,0))</f>
        <v/>
      </c>
      <c r="P53" s="454">
        <f t="shared" si="9"/>
        <v>0</v>
      </c>
    </row>
    <row r="54" spans="1:16" ht="24.95" customHeight="1" thickBot="1">
      <c r="A54" s="78"/>
      <c r="B54" s="82"/>
      <c r="C54" s="79"/>
      <c r="D54" s="79"/>
      <c r="E54" s="79"/>
      <c r="F54" s="80"/>
      <c r="G54" s="55"/>
      <c r="K54" s="79"/>
      <c r="L54" s="81"/>
      <c r="M54" s="81"/>
      <c r="N54" s="81"/>
      <c r="O54" s="81"/>
      <c r="P54" s="423"/>
    </row>
    <row r="55" spans="1:16" ht="24.95" customHeight="1" thickBot="1">
      <c r="A55" s="552">
        <v>8</v>
      </c>
      <c r="B55" s="443" t="str">
        <f>+'Parties groupes_V'!I53</f>
        <v>ARNAUD Gérard</v>
      </c>
      <c r="C55" s="347">
        <f>INDEX('Parties groupes_V'!$K$52:$K$57,MATCH(B55,'Parties groupes_V'!$I$53:$I$57,0))</f>
        <v>0</v>
      </c>
      <c r="D55" s="347">
        <f>INDEX('Parties groupes_V'!$T$53:$T$57,MATCH(B55,'Parties groupes_V'!$R$53:$R$57,0))</f>
        <v>0</v>
      </c>
      <c r="E55" s="347">
        <f>INDEX('Parties groupes_V'!$AC$53:$AC$57,MATCH(B55,'Parties groupes_V'!$AA$53:$AA$57,0))</f>
        <v>0</v>
      </c>
      <c r="F55" s="416">
        <f>IF((C55=""),"",SUM(C55:E55))</f>
        <v>0</v>
      </c>
      <c r="G55" s="346" t="str">
        <f>IF(ISNA(MATCH(B55,'Parties groupes_V'!$AI$53:$AI$57,0)),"",INDEX('Parties groupes_V'!$AL$53:$AL$57,MATCH(B55,'Parties groupes_V'!$AI$53:$AI$57,0)))</f>
        <v/>
      </c>
      <c r="H55" s="347" t="str">
        <f>IF(ISNA(MATCH(B55,'Parties groupes_V'!$AI$53:$AI$57,0)),"",INDEX('Parties groupes_V'!$AM$53:$AM$57,MATCH(B55,'Parties groupes_V'!$AI$53:$AI$57,0)))</f>
        <v/>
      </c>
      <c r="I55" s="347" t="e">
        <f t="shared" si="4"/>
        <v>#VALUE!</v>
      </c>
      <c r="J55" s="348" t="str">
        <f>IF(ISNA(MATCH(B55,'Parties groupes_V'!$AI$25:$AI$29,0)),"",INDEX('Parties groupes_V'!$AO$25:$AO$29,MATCH(B55,'Parties groupes_V'!$AI$25:$AI$29,0)))</f>
        <v/>
      </c>
      <c r="K55" s="344" t="str">
        <f>IF(ISNA(MATCH(B55,'Parties groupes_V'!$AU$53:$AU$57,0)),"",INDEX('Parties groupes_V'!$AT$53:$AT$57,MATCH(B55,'Parties groupes_V'!$AU$53:$AU$57,0)))</f>
        <v/>
      </c>
      <c r="L55" s="419">
        <f>IF((D55=""),"",IF((K55=1),6,IF((K55=2),4,IF((K55=3),2,0))))</f>
        <v>0</v>
      </c>
      <c r="M55" s="179" t="str">
        <f>IF((K55=""),"",IF(OR(K55=1,K55=4,K55=5),"",IF(('Phases Finales'!$D$34=""),"",VLOOKUP(B55,'Phases Finales'!$T$27:$Z$34,4,0))))</f>
        <v/>
      </c>
      <c r="N55" s="179" t="str">
        <f>IF((K55=""),"",IF(OR(K55=2,K55=3,K55=4,K55=5),"",IF(('Phases Finales'!$I$34=""),"",VLOOKUP(B55,'Phases Finales'!$X$27:$AA$34,4,0))))</f>
        <v/>
      </c>
      <c r="O55" s="444" t="str">
        <f>IF(OR(N55="",N55=0),"",VLOOKUP(B55,'Phases Finales'!$AB$30:$AF$31,4,0))</f>
        <v/>
      </c>
      <c r="P55" s="424">
        <f>IF((E55=""),"",SUM(F55,L55,M55,N55,O55))</f>
        <v>0</v>
      </c>
    </row>
    <row r="56" spans="1:16" ht="24.95" customHeight="1" thickBot="1">
      <c r="A56" s="553"/>
      <c r="B56" s="446" t="str">
        <f>+'Parties groupes_V'!I54</f>
        <v>SASSOLAS Denis</v>
      </c>
      <c r="C56" s="183">
        <f>INDEX('Parties groupes_V'!$K$52:$K$57,MATCH(B56,'Parties groupes_V'!$I$53:$I$57,0))</f>
        <v>0</v>
      </c>
      <c r="D56" s="183">
        <f>INDEX('Parties groupes_V'!$T$53:$T$57,MATCH(B56,'Parties groupes_V'!$R$53:$R$57,0))</f>
        <v>0</v>
      </c>
      <c r="E56" s="183">
        <f>INDEX('Parties groupes_V'!$AC$53:$AC$57,MATCH(B56,'Parties groupes_V'!$AA$53:$AA$57,0))</f>
        <v>0</v>
      </c>
      <c r="F56" s="417">
        <f>IF((C56=""),"",SUM(C56:E56))</f>
        <v>0</v>
      </c>
      <c r="G56" s="349" t="str">
        <f>IF(ISNA(MATCH(B56,'Parties groupes_V'!$AI$53:$AI$57,0)),"",INDEX('Parties groupes_V'!$AL$53:$AL$57,MATCH(B56,'Parties groupes_V'!$AI$53:$AI$57,0)))</f>
        <v/>
      </c>
      <c r="H56" s="183" t="str">
        <f>IF(ISNA(MATCH(B56,'Parties groupes_V'!$AI$53:$AI$57,0)),"",INDEX('Parties groupes_V'!$AM$53:$AM$57,MATCH(B56,'Parties groupes_V'!$AI$53:$AI$57,0)))</f>
        <v/>
      </c>
      <c r="I56" s="183" t="e">
        <f t="shared" si="4"/>
        <v>#VALUE!</v>
      </c>
      <c r="J56" s="350" t="str">
        <f>IF(ISNA(MATCH(B56,'Parties groupes_V'!$AI$25:$AI$29,0)),"",INDEX('Parties groupes_V'!$AO$25:$AO$29,MATCH(B56,'Parties groupes_V'!$AI$25:$AI$29,0)))</f>
        <v/>
      </c>
      <c r="K56" s="344" t="str">
        <f>IF(ISNA(MATCH(B56,'Parties groupes_V'!$AU$53:$AU$57,0)),"",INDEX('Parties groupes_V'!$AT$53:$AT$57,MATCH(B56,'Parties groupes_V'!$AU$53:$AU$57,0)))</f>
        <v/>
      </c>
      <c r="L56" s="420">
        <f t="shared" ref="L56:L59" si="10">IF((D56=""),"",IF((K56=1),6,IF((K56=2),4,IF((K56=3),2,0))))</f>
        <v>0</v>
      </c>
      <c r="M56" s="72" t="str">
        <f>IF((K56=""),"",IF(OR(K56=1,K56=4,K56=5),"",IF(('Phases Finales'!$D$34=""),"",VLOOKUP(B56,'Phases Finales'!$T$27:$Z$34,4,0))))</f>
        <v/>
      </c>
      <c r="N56" s="72" t="str">
        <f>IF((K56=""),"",IF(OR(K56=2,K56=3,K56=4,K56=5),"",IF(('Phases Finales'!$I$34=""),"",VLOOKUP(B56,'Phases Finales'!$X$27:$AA$34,4,0))))</f>
        <v/>
      </c>
      <c r="O56" s="370" t="str">
        <f>IF(OR(N56="",N56=0),"",VLOOKUP(B56,'Phases Finales'!$AB$30:$AF$31,4,0))</f>
        <v/>
      </c>
      <c r="P56" s="425">
        <f>IF((E56=""),"",SUM(F56,L56,M56,N56,O56))</f>
        <v>0</v>
      </c>
    </row>
    <row r="57" spans="1:16" ht="24.95" customHeight="1" thickBot="1">
      <c r="A57" s="553"/>
      <c r="B57" s="446" t="str">
        <f>+'Parties groupes_V'!I55</f>
        <v>ISIDORE Serge</v>
      </c>
      <c r="C57" s="183">
        <f>INDEX('Parties groupes_V'!$K$52:$K$57,MATCH(B57,'Parties groupes_V'!$I$53:$I$57,0))</f>
        <v>0</v>
      </c>
      <c r="D57" s="183">
        <f>INDEX('Parties groupes_V'!$T$53:$T$57,MATCH(B57,'Parties groupes_V'!$R$53:$R$57,0))</f>
        <v>0</v>
      </c>
      <c r="E57" s="183">
        <f>INDEX('Parties groupes_V'!$AC$53:$AC$57,MATCH(B57,'Parties groupes_V'!$AA$53:$AA$57,0))</f>
        <v>0</v>
      </c>
      <c r="F57" s="417">
        <f>IF((C57=""),"",SUM(C57:E57))</f>
        <v>0</v>
      </c>
      <c r="G57" s="349" t="str">
        <f>IF(ISNA(MATCH(B57,'Parties groupes_V'!$AI$53:$AI$57,0)),"",INDEX('Parties groupes_V'!$AL$53:$AL$57,MATCH(B57,'Parties groupes_V'!$AI$53:$AI$57,0)))</f>
        <v/>
      </c>
      <c r="H57" s="183" t="str">
        <f>IF(ISNA(MATCH(B57,'Parties groupes_V'!$AI$53:$AI$57,0)),"",INDEX('Parties groupes_V'!$AM$53:$AM$57,MATCH(B57,'Parties groupes_V'!$AI$53:$AI$57,0)))</f>
        <v/>
      </c>
      <c r="I57" s="183" t="e">
        <f t="shared" si="4"/>
        <v>#VALUE!</v>
      </c>
      <c r="J57" s="350" t="str">
        <f>IF(ISNA(MATCH(B57,'Parties groupes_V'!$AI$25:$AI$29,0)),"",INDEX('Parties groupes_V'!$AO$25:$AO$29,MATCH(B57,'Parties groupes_V'!$AI$25:$AI$29,0)))</f>
        <v/>
      </c>
      <c r="K57" s="344" t="str">
        <f>IF(ISNA(MATCH(B57,'Parties groupes_V'!$AU$53:$AU$57,0)),"",INDEX('Parties groupes_V'!$AT$53:$AT$57,MATCH(B57,'Parties groupes_V'!$AU$53:$AU$57,0)))</f>
        <v/>
      </c>
      <c r="L57" s="420">
        <f t="shared" si="10"/>
        <v>0</v>
      </c>
      <c r="M57" s="72" t="str">
        <f>IF((K57=""),"",IF(OR(K57=1,K57=4,K57=5),"",IF(('Phases Finales'!$D$34=""),"",VLOOKUP(B57,'Phases Finales'!$T$27:$Z$34,4,0))))</f>
        <v/>
      </c>
      <c r="N57" s="72" t="str">
        <f>IF((K57=""),"",IF(OR(K57=2,K57=3,K57=4,K57=5),"",IF(('Phases Finales'!$I$34=""),"",VLOOKUP(B57,'Phases Finales'!$X$27:$AA$34,4,0))))</f>
        <v/>
      </c>
      <c r="O57" s="370" t="str">
        <f>IF(OR(N57="",N57=0),"",VLOOKUP(B57,'Phases Finales'!$AB$30:$AF$31,4,0))</f>
        <v/>
      </c>
      <c r="P57" s="425">
        <f>IF((E57=""),"",SUM(F57,L57,M57,N57,O57))</f>
        <v>0</v>
      </c>
    </row>
    <row r="58" spans="1:16" ht="24.95" customHeight="1" thickBot="1">
      <c r="A58" s="553"/>
      <c r="B58" s="446" t="str">
        <f>+'Parties groupes_V'!I56</f>
        <v>SOUBEYRAND Thierry</v>
      </c>
      <c r="C58" s="183">
        <f>INDEX('Parties groupes_V'!$K$52:$K$57,MATCH(B58,'Parties groupes_V'!$I$53:$I$57,0))</f>
        <v>0</v>
      </c>
      <c r="D58" s="183">
        <f>INDEX('Parties groupes_V'!$T$53:$T$57,MATCH(B58,'Parties groupes_V'!$R$53:$R$57,0))</f>
        <v>0</v>
      </c>
      <c r="E58" s="183">
        <f>INDEX('Parties groupes_V'!$AC$53:$AC$57,MATCH(B58,'Parties groupes_V'!$AA$53:$AA$57,0))</f>
        <v>0</v>
      </c>
      <c r="F58" s="417">
        <f>IF((C58=""),"",SUM(C58:E58))</f>
        <v>0</v>
      </c>
      <c r="G58" s="349" t="str">
        <f>IF(ISNA(MATCH(B58,'Parties groupes_V'!$AI$53:$AI$57,0)),"",INDEX('Parties groupes_V'!$AL$53:$AL$57,MATCH(B58,'Parties groupes_V'!$AI$53:$AI$57,0)))</f>
        <v/>
      </c>
      <c r="H58" s="183" t="str">
        <f>IF(ISNA(MATCH(B58,'Parties groupes_V'!$AI$53:$AI$57,0)),"",INDEX('Parties groupes_V'!$AM$53:$AM$57,MATCH(B58,'Parties groupes_V'!$AI$53:$AI$57,0)))</f>
        <v/>
      </c>
      <c r="I58" s="183" t="e">
        <f t="shared" si="4"/>
        <v>#VALUE!</v>
      </c>
      <c r="J58" s="350" t="str">
        <f>IF(ISNA(MATCH(B58,'Parties groupes_V'!$AI$25:$AI$29,0)),"",INDEX('Parties groupes_V'!$AO$25:$AO$29,MATCH(B58,'Parties groupes_V'!$AI$25:$AI$29,0)))</f>
        <v/>
      </c>
      <c r="K58" s="344" t="str">
        <f>IF(ISNA(MATCH(B58,'Parties groupes_V'!$AU$53:$AU$57,0)),"",INDEX('Parties groupes_V'!$AT$53:$AT$57,MATCH(B58,'Parties groupes_V'!$AU$53:$AU$57,0)))</f>
        <v/>
      </c>
      <c r="L58" s="420">
        <f t="shared" si="10"/>
        <v>0</v>
      </c>
      <c r="M58" s="72" t="str">
        <f>IF((K58=""),"",IF(OR(K58=1,K58=4,K58=5),"",IF(('Phases Finales'!$D$34=""),"",VLOOKUP(B58,'Phases Finales'!$T$27:$Z$34,4,0))))</f>
        <v/>
      </c>
      <c r="N58" s="72" t="str">
        <f>IF((K58=""),"",IF(OR(K58=2,K58=3,K58=4,K58=5),"",IF(('Phases Finales'!$I$34=""),"",VLOOKUP(B58,'Phases Finales'!$X$27:$AA$34,4,0))))</f>
        <v/>
      </c>
      <c r="O58" s="370" t="str">
        <f>IF(OR(N58="",N58=0),"",VLOOKUP(B58,'Phases Finales'!$AB$30:$AF$31,4,0))</f>
        <v/>
      </c>
      <c r="P58" s="425">
        <f>IF((E58=""),"",SUM(F58,L58,M58,N58,O58))</f>
        <v>0</v>
      </c>
    </row>
    <row r="59" spans="1:16" ht="24.95" customHeight="1" thickBot="1">
      <c r="A59" s="554"/>
      <c r="B59" s="448" t="str">
        <f>+'Parties groupes_V'!I57</f>
        <v>CHAMBONNET Jean-Pierre</v>
      </c>
      <c r="C59" s="352">
        <f>INDEX('Parties groupes_V'!$K$52:$K$57,MATCH(B59,'Parties groupes_V'!$I$53:$I$57,0))</f>
        <v>0</v>
      </c>
      <c r="D59" s="352">
        <f>INDEX('Parties groupes_V'!$T$53:$T$57,MATCH(B59,'Parties groupes_V'!$R$53:$R$57,0))</f>
        <v>0</v>
      </c>
      <c r="E59" s="352">
        <f>INDEX('Parties groupes_V'!$AC$53:$AC$57,MATCH(B59,'Parties groupes_V'!$AA$53:$AA$57,0))</f>
        <v>0</v>
      </c>
      <c r="F59" s="418">
        <f>IF((C59=""),"",SUM(C59:E59))</f>
        <v>0</v>
      </c>
      <c r="G59" s="351" t="str">
        <f>IF(ISNA(MATCH(B59,'Parties groupes_V'!$AI$53:$AI$57,0)),"",INDEX('Parties groupes_V'!$AL$53:$AL$57,MATCH(B59,'Parties groupes_V'!$AI$53:$AI$57,0)))</f>
        <v/>
      </c>
      <c r="H59" s="352" t="str">
        <f>IF(ISNA(MATCH(B59,'Parties groupes_V'!$AI$53:$AI$57,0)),"",INDEX('Parties groupes_V'!$AM$53:$AM$57,MATCH(B59,'Parties groupes_V'!$AI$53:$AI$57,0)))</f>
        <v/>
      </c>
      <c r="I59" s="352" t="e">
        <f t="shared" si="4"/>
        <v>#VALUE!</v>
      </c>
      <c r="J59" s="353" t="str">
        <f>IF(ISNA(MATCH(B59,'Parties groupes_V'!$AI$25:$AI$29,0)),"",INDEX('Parties groupes_V'!$AO$25:$AO$29,MATCH(B59,'Parties groupes_V'!$AI$25:$AI$29,0)))</f>
        <v/>
      </c>
      <c r="K59" s="455" t="str">
        <f>IF(ISNA(MATCH(B59,'Parties groupes_V'!$AU$53:$AU$57,0)),"",INDEX('Parties groupes_V'!$AT$53:$AT$57,MATCH(B59,'Parties groupes_V'!$AU$53:$AU$57,0)))</f>
        <v/>
      </c>
      <c r="L59" s="421">
        <f t="shared" si="10"/>
        <v>0</v>
      </c>
      <c r="M59" s="180" t="str">
        <f>IF((K59=""),"",IF(OR(K59=1,K59=4,K59=5),"",IF(('Phases Finales'!$D$34=""),"",VLOOKUP(B59,'Phases Finales'!$T$27:$Z$34,4,0))))</f>
        <v/>
      </c>
      <c r="N59" s="180" t="str">
        <f>IF((K59=""),"",IF(OR(K59=2,K59=3,K59=4,K59=5),"",IF(('Phases Finales'!$I$34=""),"",VLOOKUP(B59,'Phases Finales'!$X$27:$AA$34,4,0))))</f>
        <v/>
      </c>
      <c r="O59" s="449" t="str">
        <f>IF(OR(N59="",N59=0),"",VLOOKUP(B59,'Phases Finales'!$AB$30:$AF$31,4,0))</f>
        <v/>
      </c>
      <c r="P59" s="426">
        <f>IF((E59=""),"",SUM(F59,L59,M59,N59,O59))</f>
        <v>0</v>
      </c>
    </row>
    <row r="60" spans="1:16">
      <c r="I60" s="166"/>
      <c r="P60" s="427"/>
    </row>
    <row r="61" spans="1:16">
      <c r="C61" s="166" t="e">
        <f>SUM(C37:C59)</f>
        <v>#N/A</v>
      </c>
      <c r="D61" s="166" t="e">
        <f t="shared" ref="D61:E61" si="11">SUM(D37:D59)</f>
        <v>#N/A</v>
      </c>
      <c r="E61" s="166" t="e">
        <f t="shared" si="11"/>
        <v>#N/A</v>
      </c>
    </row>
  </sheetData>
  <sheetProtection sheet="1" objects="1" scenarios="1"/>
  <mergeCells count="18">
    <mergeCell ref="A55:A59"/>
    <mergeCell ref="C34:L34"/>
    <mergeCell ref="M34:P34"/>
    <mergeCell ref="A37:A41"/>
    <mergeCell ref="A43:A47"/>
    <mergeCell ref="A49:A53"/>
    <mergeCell ref="M3:N3"/>
    <mergeCell ref="C3:E3"/>
    <mergeCell ref="A7:A11"/>
    <mergeCell ref="A1:J1"/>
    <mergeCell ref="K1:M1"/>
    <mergeCell ref="A2:J2"/>
    <mergeCell ref="K2:M2"/>
    <mergeCell ref="A13:A17"/>
    <mergeCell ref="A19:A23"/>
    <mergeCell ref="A25:A29"/>
    <mergeCell ref="C4:L4"/>
    <mergeCell ref="M4:P4"/>
  </mergeCells>
  <conditionalFormatting sqref="B18 B24">
    <cfRule type="cellIs" dxfId="45" priority="34" stopIfTrue="1" operator="equal">
      <formula>"OFFICE"</formula>
    </cfRule>
  </conditionalFormatting>
  <conditionalFormatting sqref="K7:K11 K13:K17 K19:K23 K25:K29">
    <cfRule type="cellIs" dxfId="44" priority="29" stopIfTrue="1" operator="equal">
      <formula>"EGALITE PARFAITE ENTRE 3 EQUIPES"</formula>
    </cfRule>
    <cfRule type="cellIs" dxfId="43" priority="30" stopIfTrue="1" operator="equal">
      <formula>3</formula>
    </cfRule>
    <cfRule type="cellIs" dxfId="42" priority="31" stopIfTrue="1" operator="equal">
      <formula>2</formula>
    </cfRule>
    <cfRule type="cellIs" dxfId="41" priority="32" stopIfTrue="1" operator="equal">
      <formula>4</formula>
    </cfRule>
    <cfRule type="cellIs" dxfId="40" priority="33" stopIfTrue="1" operator="equal">
      <formula>1</formula>
    </cfRule>
  </conditionalFormatting>
  <conditionalFormatting sqref="P7:P11 P13:P17 P19:P23 P25:P29">
    <cfRule type="top10" dxfId="39" priority="28" stopIfTrue="1" rank="1"/>
  </conditionalFormatting>
  <conditionalFormatting sqref="F7:F11">
    <cfRule type="duplicateValues" dxfId="38" priority="27" stopIfTrue="1"/>
  </conditionalFormatting>
  <conditionalFormatting sqref="F13:F17">
    <cfRule type="duplicateValues" dxfId="37" priority="26" stopIfTrue="1"/>
  </conditionalFormatting>
  <conditionalFormatting sqref="F19:F23">
    <cfRule type="duplicateValues" dxfId="36" priority="25" stopIfTrue="1"/>
  </conditionalFormatting>
  <conditionalFormatting sqref="F25:F29">
    <cfRule type="duplicateValues" dxfId="35" priority="24" stopIfTrue="1"/>
  </conditionalFormatting>
  <conditionalFormatting sqref="F13:F17">
    <cfRule type="duplicateValues" dxfId="34" priority="23" stopIfTrue="1"/>
  </conditionalFormatting>
  <conditionalFormatting sqref="B48 B54">
    <cfRule type="cellIs" dxfId="33" priority="18" stopIfTrue="1" operator="equal">
      <formula>"OFFICE"</formula>
    </cfRule>
  </conditionalFormatting>
  <conditionalFormatting sqref="K37:K41 K43:K47 K49:K53 K55:K59">
    <cfRule type="cellIs" dxfId="32" priority="13" stopIfTrue="1" operator="equal">
      <formula>"EGALITE PARFAITE ENTRE 3 EQUIPES"</formula>
    </cfRule>
    <cfRule type="cellIs" dxfId="31" priority="14" stopIfTrue="1" operator="equal">
      <formula>3</formula>
    </cfRule>
    <cfRule type="cellIs" dxfId="30" priority="15" stopIfTrue="1" operator="equal">
      <formula>2</formula>
    </cfRule>
    <cfRule type="cellIs" dxfId="29" priority="16" stopIfTrue="1" operator="equal">
      <formula>4</formula>
    </cfRule>
    <cfRule type="cellIs" dxfId="28" priority="17" stopIfTrue="1" operator="equal">
      <formula>1</formula>
    </cfRule>
  </conditionalFormatting>
  <conditionalFormatting sqref="P37:P41 P43:P47 P49:P53 P55:P59">
    <cfRule type="top10" dxfId="27" priority="12" stopIfTrue="1" rank="1"/>
  </conditionalFormatting>
  <conditionalFormatting sqref="F37:F41">
    <cfRule type="duplicateValues" dxfId="26" priority="11" stopIfTrue="1"/>
  </conditionalFormatting>
  <conditionalFormatting sqref="F43:F47">
    <cfRule type="duplicateValues" dxfId="25" priority="10" stopIfTrue="1"/>
  </conditionalFormatting>
  <conditionalFormatting sqref="F49:F53">
    <cfRule type="duplicateValues" dxfId="24" priority="9" stopIfTrue="1"/>
  </conditionalFormatting>
  <conditionalFormatting sqref="F55:F59">
    <cfRule type="duplicateValues" dxfId="23" priority="8" stopIfTrue="1"/>
  </conditionalFormatting>
  <conditionalFormatting sqref="F43:F47">
    <cfRule type="duplicateValues" dxfId="22" priority="7" stopIfTrue="1"/>
  </conditionalFormatting>
  <conditionalFormatting sqref="F43:F47">
    <cfRule type="duplicateValues" dxfId="21" priority="3" stopIfTrue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P44"/>
  <sheetViews>
    <sheetView topLeftCell="A4" zoomScale="80" zoomScaleNormal="80" workbookViewId="0">
      <selection activeCell="W5" sqref="W5"/>
    </sheetView>
  </sheetViews>
  <sheetFormatPr baseColWidth="10" defaultRowHeight="12.75"/>
  <cols>
    <col min="1" max="1" width="4.42578125" bestFit="1" customWidth="1"/>
    <col min="2" max="2" width="30.28515625" bestFit="1" customWidth="1"/>
    <col min="3" max="3" width="9.5703125" customWidth="1"/>
    <col min="4" max="4" width="7.140625" customWidth="1"/>
    <col min="5" max="5" width="8.7109375" customWidth="1"/>
    <col min="6" max="6" width="9" customWidth="1"/>
    <col min="7" max="7" width="12.42578125" bestFit="1" customWidth="1"/>
    <col min="9" max="9" width="13.5703125" bestFit="1" customWidth="1"/>
    <col min="16" max="16" width="12.42578125" bestFit="1" customWidth="1"/>
  </cols>
  <sheetData>
    <row r="1" spans="1:16" ht="30.75" customHeight="1" thickBot="1">
      <c r="A1" s="517" t="str">
        <f>+'[1]1A_G'!C1</f>
        <v>CONCOURS QUALIFICATIFS - ARDECHE 2022.23</v>
      </c>
      <c r="B1" s="518"/>
      <c r="C1" s="518"/>
      <c r="D1" s="518"/>
      <c r="E1" s="518"/>
      <c r="F1" s="518"/>
      <c r="G1" s="518"/>
      <c r="H1" s="518"/>
      <c r="I1" s="518"/>
      <c r="J1" s="518"/>
      <c r="K1" s="563" t="str">
        <f>+'Parties groupes_V'!H1</f>
        <v>SATILLIEU</v>
      </c>
      <c r="L1" s="563"/>
      <c r="M1" s="563"/>
      <c r="N1" s="555" t="s">
        <v>168</v>
      </c>
      <c r="O1" s="555"/>
      <c r="P1" s="555"/>
    </row>
    <row r="2" spans="1:16" ht="30.75" customHeight="1" thickBot="1">
      <c r="A2" s="523" t="str">
        <f>'[1]1A_G'!C2</f>
        <v>M4   1ère Journée</v>
      </c>
      <c r="B2" s="524"/>
      <c r="C2" s="524"/>
      <c r="D2" s="524"/>
      <c r="E2" s="524"/>
      <c r="F2" s="524"/>
      <c r="G2" s="524"/>
      <c r="H2" s="524"/>
      <c r="I2" s="524"/>
      <c r="J2" s="524"/>
      <c r="K2" s="556" t="str">
        <f>+'Parties groupes_V'!H2</f>
        <v>S. 18 mars 2023</v>
      </c>
      <c r="L2" s="556"/>
      <c r="M2" s="556"/>
      <c r="N2" s="556" t="s">
        <v>169</v>
      </c>
      <c r="O2" s="556"/>
      <c r="P2" s="556"/>
    </row>
    <row r="3" spans="1:16" ht="27" customHeight="1">
      <c r="A3" s="44"/>
      <c r="B3" s="65"/>
      <c r="C3" s="557" t="s">
        <v>52</v>
      </c>
      <c r="D3" s="558"/>
      <c r="E3" s="558"/>
      <c r="F3" s="558"/>
      <c r="G3" s="558"/>
      <c r="H3" s="558"/>
      <c r="I3" s="558"/>
      <c r="J3" s="558"/>
      <c r="K3" s="559"/>
      <c r="L3" s="560"/>
      <c r="M3" s="561" t="s">
        <v>53</v>
      </c>
      <c r="N3" s="559"/>
      <c r="O3" s="559"/>
      <c r="P3" s="562"/>
    </row>
    <row r="4" spans="1:16" ht="31.5">
      <c r="A4" s="372" t="s">
        <v>67</v>
      </c>
      <c r="B4" s="373" t="s">
        <v>147</v>
      </c>
      <c r="C4" s="374" t="s">
        <v>54</v>
      </c>
      <c r="D4" s="366" t="s">
        <v>55</v>
      </c>
      <c r="E4" s="366" t="s">
        <v>56</v>
      </c>
      <c r="F4" s="367" t="s">
        <v>57</v>
      </c>
      <c r="G4" s="367" t="s">
        <v>58</v>
      </c>
      <c r="H4" s="367" t="s">
        <v>59</v>
      </c>
      <c r="I4" s="367" t="s">
        <v>60</v>
      </c>
      <c r="J4" s="367" t="s">
        <v>80</v>
      </c>
      <c r="K4" s="366" t="s">
        <v>61</v>
      </c>
      <c r="L4" s="366" t="s">
        <v>62</v>
      </c>
      <c r="M4" s="368" t="s">
        <v>63</v>
      </c>
      <c r="N4" s="366" t="s">
        <v>64</v>
      </c>
      <c r="O4" s="366" t="s">
        <v>65</v>
      </c>
      <c r="P4" s="366" t="s">
        <v>66</v>
      </c>
    </row>
    <row r="5" spans="1:16" ht="24.95" customHeight="1">
      <c r="A5" s="375">
        <v>1</v>
      </c>
      <c r="B5" s="376" t="str">
        <f>+'Parties groupes_V'!I23</f>
        <v>GAILLARD Jean Louis</v>
      </c>
      <c r="C5" s="183">
        <f>INDEX('Parties groupes_V'!$K$19:$K$23,MATCH(B5,'Parties groupes_V'!$I$19:$I$23,0))</f>
        <v>0</v>
      </c>
      <c r="D5" s="183">
        <f>INDEX('Parties groupes_V'!$T$19:$T$23,MATCH(B5,'Parties groupes_V'!$R$19:$R$23,0))</f>
        <v>0</v>
      </c>
      <c r="E5" s="183">
        <f>INDEX('Parties groupes_V'!$AC$19:$AC$23,MATCH(B5,'Parties groupes_V'!$AA$19:$AA$23,0))</f>
        <v>0</v>
      </c>
      <c r="F5" s="369">
        <f>IF((C5=""),"",SUM(C5:E5))</f>
        <v>0</v>
      </c>
      <c r="G5" s="183" t="str">
        <f>IF(ISNA(MATCH(B5,'Parties groupes_V'!$AI$19:$AI$23,0)),"",INDEX('Parties groupes_V'!$AL$19:$AL$23,MATCH(B5,'Parties groupes_V'!$AI$19:$AI$23,0)))</f>
        <v/>
      </c>
      <c r="H5" s="183" t="str">
        <f>IF(ISNA(MATCH(B5,'Parties groupes_V'!$AI$19:$AI$23,0)),"",INDEX('Parties groupes_V'!$AM$19:$AM$23,MATCH(B5,'Parties groupes_V'!$AI$19:$AI$23,0)))</f>
        <v/>
      </c>
      <c r="I5" s="183" t="str">
        <f>IF(ISNA(MATCH(B5,'Parties groupes_V'!$AI$19:$AI$23,0)),"",INDEX('Parties groupes_V'!$AN$19:$AN$23,MATCH(B5,'Parties groupes_V'!$AI$19:$AI$23,0)))</f>
        <v/>
      </c>
      <c r="J5" s="183" t="str">
        <f>IF(ISNA(MATCH(B5,'Parties groupes_V'!$AI$19:$AI$23,0)),"",INDEX('Parties groupes_V'!$AO$19:$AO$23,MATCH(B5,'Parties groupes_V'!$AI$19:$AI$23,0)))</f>
        <v/>
      </c>
      <c r="K5" s="370" t="str">
        <f>IF(ISNA(MATCH(B5,'Parties groupes_V'!$AU$19:$AU$23,0)),"",INDEX('Parties groupes_V'!$AT$19:$AT$23,MATCH(B5,'Parties groupes_V'!$AU$19:$AU$23,0)))</f>
        <v/>
      </c>
      <c r="L5" s="370">
        <f>IF((D5=""),"",IF((K5=1),6,IF((K5=2),4,IF((K5=3),2,0))))</f>
        <v>0</v>
      </c>
      <c r="M5" s="72" t="str">
        <f>IF((K5=""),"",IF(OR(K5=1,K5=4,K5=5),"",IF(('Phases Finales'!$D$14=""),"",VLOOKUP(B5,'Phases Finales'!$T$7:$Z$14,4,0))))</f>
        <v/>
      </c>
      <c r="N5" s="72" t="str">
        <f>IF((K5=""),"",IF(OR(K5=2,K5=3,K5=4,K5=5),"",IF(('Phases Finales'!$I$14=""),"",VLOOKUP(B5,'Phases Finales'!$X$8:$AA$13,4,0))))</f>
        <v/>
      </c>
      <c r="O5" s="370" t="str">
        <f>IF(OR(N5="",N5=0),"",VLOOKUP(B5,'Phases Finales'!$AB$10:$AE$11,4,0))</f>
        <v/>
      </c>
      <c r="P5" s="371">
        <f>IF((E5=""),"",SUM(F5,L5,M5,N5,O5))</f>
        <v>0</v>
      </c>
    </row>
    <row r="6" spans="1:16" ht="24.95" customHeight="1">
      <c r="A6" s="375">
        <v>2</v>
      </c>
      <c r="B6" s="376" t="s">
        <v>158</v>
      </c>
      <c r="C6" s="183">
        <v>2</v>
      </c>
      <c r="D6" s="183">
        <v>2</v>
      </c>
      <c r="E6" s="183">
        <v>2</v>
      </c>
      <c r="F6" s="369">
        <v>6</v>
      </c>
      <c r="G6" s="183">
        <v>34</v>
      </c>
      <c r="H6" s="183">
        <v>19</v>
      </c>
      <c r="I6" s="183">
        <v>0</v>
      </c>
      <c r="J6" s="183">
        <v>0</v>
      </c>
      <c r="K6" s="370">
        <v>1</v>
      </c>
      <c r="L6" s="370">
        <v>6</v>
      </c>
      <c r="M6" s="72"/>
      <c r="N6" s="72">
        <v>4</v>
      </c>
      <c r="O6" s="370">
        <v>4</v>
      </c>
      <c r="P6" s="371">
        <v>20</v>
      </c>
    </row>
    <row r="7" spans="1:16" ht="24.95" customHeight="1">
      <c r="A7" s="375">
        <v>3</v>
      </c>
      <c r="B7" s="376" t="str">
        <f>+'Parties groupes_V'!I11</f>
        <v>COMTE Denis</v>
      </c>
      <c r="C7" s="183">
        <f>INDEX('Parties groupes_V'!$K$7:$K$11,MATCH(B7,'Parties groupes_V'!$I$7:$I$11,0))</f>
        <v>0</v>
      </c>
      <c r="D7" s="183">
        <f>INDEX('Parties groupes_V'!$T$7:$T$11,MATCH(B7,'Parties groupes_V'!$R$7:$R$11,0))</f>
        <v>0</v>
      </c>
      <c r="E7" s="183">
        <f>INDEX('Parties groupes_V'!$AC$7:$AC$11,MATCH(B7,'Parties groupes_V'!$AA$7:$AA$11,0))</f>
        <v>0</v>
      </c>
      <c r="F7" s="369">
        <f>IF((C7=""),"",SUM(C7:E7))</f>
        <v>0</v>
      </c>
      <c r="G7" s="183" t="str">
        <f>IF(ISNA(MATCH(B7,'Parties groupes_V'!$AI$7:$AI$11,0)),"",INDEX('Parties groupes_V'!$AL$7:$AL$11,MATCH(B7,'Parties groupes_V'!$AI$7:$AI$11,0)))</f>
        <v/>
      </c>
      <c r="H7" s="183" t="str">
        <f>IF(ISNA(MATCH(B7,'Parties groupes_V'!$AI$7:$AI$11,0)),"",INDEX('Parties groupes_V'!$AM$7:$AM$11,MATCH(B7,'Parties groupes_V'!$AI$7:$AI$11,0)))</f>
        <v/>
      </c>
      <c r="I7" s="183" t="str">
        <f>IF(ISNA(MATCH(B7,'Parties groupes_V'!$AI$7:$AI$11,0)),"",INDEX('Parties groupes_V'!$AN$7:$AN$11,MATCH(B7,'Parties groupes_V'!$AI$7:$AI$11,0)))</f>
        <v/>
      </c>
      <c r="J7" s="183" t="str">
        <f>IF(ISNA(MATCH(B7,'Parties groupes_V'!$AI$7:$AI$11,0)),"",INDEX('Parties groupes_V'!$AO$7:$AO$11,MATCH(B7,'Parties groupes_V'!$AI$7:$AI$11,0)))</f>
        <v/>
      </c>
      <c r="K7" s="370" t="str">
        <f>IF(ISNA(MATCH(B7,'Parties groupes_V'!$AU$7:$AU$11,0)),"",INDEX('Parties groupes_V'!$AT$7:$AT$11,MATCH(B7,'Parties groupes_V'!$AU$7:$AU$11,0)))</f>
        <v/>
      </c>
      <c r="L7" s="370">
        <f>IF((D7=""),"",IF((K7=1),6,IF((K7=2),4,IF((K7=3),2,0))))</f>
        <v>0</v>
      </c>
      <c r="M7" s="72" t="str">
        <f>IF((K7=""),"",IF(OR(K7=1,K7=4,K7=5),"",IF(('Phases Finales'!$D$14=""),"",VLOOKUP(B7,'Phases Finales'!$T$7:$Z$14,4,0))))</f>
        <v/>
      </c>
      <c r="N7" s="72" t="str">
        <f>IF((K7=""),"",IF(OR(K7=2,K7=3,K7=4,K7=5),"",IF(('Phases Finales'!$I$14=""),"",VLOOKUP(B7,'Phases Finales'!$X$8:$AA$13,4,0))))</f>
        <v/>
      </c>
      <c r="O7" s="370" t="str">
        <f>IF(OR(N7="",N7=0),"",VLOOKUP(B7,'Phases Finales'!$AB$10:$AE$11,4,0))</f>
        <v/>
      </c>
      <c r="P7" s="371">
        <f>IF((E7=""),"",SUM(F7,L7,M7,N7,O7))</f>
        <v>0</v>
      </c>
    </row>
    <row r="8" spans="1:16" ht="24.95" customHeight="1">
      <c r="A8" s="375">
        <v>4</v>
      </c>
      <c r="B8" s="376" t="s">
        <v>149</v>
      </c>
      <c r="C8" s="183">
        <v>2</v>
      </c>
      <c r="D8" s="183">
        <v>2</v>
      </c>
      <c r="E8" s="183">
        <v>2</v>
      </c>
      <c r="F8" s="369">
        <v>6</v>
      </c>
      <c r="G8" s="183">
        <v>37</v>
      </c>
      <c r="H8" s="183">
        <v>21</v>
      </c>
      <c r="I8" s="183">
        <v>0</v>
      </c>
      <c r="J8" s="183">
        <v>0</v>
      </c>
      <c r="K8" s="370">
        <v>1</v>
      </c>
      <c r="L8" s="370">
        <v>6</v>
      </c>
      <c r="M8" s="72"/>
      <c r="N8" s="72">
        <v>4</v>
      </c>
      <c r="O8" s="370">
        <v>0</v>
      </c>
      <c r="P8" s="371">
        <v>16</v>
      </c>
    </row>
    <row r="9" spans="1:16" ht="24.95" customHeight="1">
      <c r="A9" s="375">
        <v>5</v>
      </c>
      <c r="B9" s="376" t="str">
        <f>+'Parties groupes_V'!I7</f>
        <v>COMBETTE DAVID</v>
      </c>
      <c r="C9" s="183">
        <f>INDEX('Parties groupes_V'!$K$7:$K$11,MATCH(B9,'Parties groupes_V'!$I$7:$I$11,0))</f>
        <v>0</v>
      </c>
      <c r="D9" s="183">
        <f>INDEX('Parties groupes_V'!$T$7:$T$11,MATCH(B9,'Parties groupes_V'!$R$7:$R$11,0))</f>
        <v>0</v>
      </c>
      <c r="E9" s="183">
        <f>INDEX('Parties groupes_V'!$AC$7:$AC$11,MATCH(B9,'Parties groupes_V'!$AA$7:$AA$11,0))</f>
        <v>0</v>
      </c>
      <c r="F9" s="369">
        <f>IF((C9=""),"",SUM(C9:E9))</f>
        <v>0</v>
      </c>
      <c r="G9" s="183" t="str">
        <f>IF(ISNA(MATCH(B9,'Parties groupes_V'!$AI$7:$AI$11,0)),"",INDEX('Parties groupes_V'!$AL$7:$AL$11,MATCH(B9,'Parties groupes_V'!$AI$7:$AI$11,0)))</f>
        <v/>
      </c>
      <c r="H9" s="183" t="str">
        <f>IF(ISNA(MATCH(B9,'Parties groupes_V'!$AI$7:$AI$11,0)),"",INDEX('Parties groupes_V'!$AM$7:$AM$11,MATCH(B9,'Parties groupes_V'!$AI$7:$AI$11,0)))</f>
        <v/>
      </c>
      <c r="I9" s="183" t="str">
        <f>IF(ISNA(MATCH(B9,'Parties groupes_V'!$AI$7:$AI$11,0)),"",INDEX('Parties groupes_V'!$AN$7:$AN$11,MATCH(B9,'Parties groupes_V'!$AI$7:$AI$11,0)))</f>
        <v/>
      </c>
      <c r="J9" s="183" t="str">
        <f>IF(ISNA(MATCH(B9,'Parties groupes_V'!$AI$7:$AI$11,0)),"",INDEX('Parties groupes_V'!$AO$7:$AO$11,MATCH(B9,'Parties groupes_V'!$AI$7:$AI$11,0)))</f>
        <v/>
      </c>
      <c r="K9" s="370" t="str">
        <f>IF(ISNA(MATCH(B9,'Parties groupes_V'!$AU$7:$AU$11,0)),"",INDEX('Parties groupes_V'!$AT$7:$AT$11,MATCH(B9,'Parties groupes_V'!$AU$7:$AU$11,0)))</f>
        <v/>
      </c>
      <c r="L9" s="72">
        <f>IF((D9=""),"",IF((K9=1),6,IF((K9=2),4,IF((K9=3),2,0))))</f>
        <v>0</v>
      </c>
      <c r="M9" s="72" t="str">
        <f>IF((K9=""),"",IF(OR(K9=1,K9=4,K9=5),"",IF(('Phases Finales'!$D$14=""),"",VLOOKUP(B9,'Phases Finales'!$T$7:$Z$14,4,0))))</f>
        <v/>
      </c>
      <c r="N9" s="72" t="str">
        <f>IF((K9=""),"",IF(OR(K9=2,K9=3,K9=4,K9=5),"",IF(('Phases Finales'!$I$14=""),"",VLOOKUP(B9,'Phases Finales'!$X$8:$AA$13,4,0))))</f>
        <v/>
      </c>
      <c r="O9" s="370" t="str">
        <f>IF(OR(N9="",N9=0),"",VLOOKUP(B9,'Phases Finales'!$AB$10:$AE$11,4,0))</f>
        <v/>
      </c>
      <c r="P9" s="371">
        <f>IF((E9=""),"",SUM(F9,L9,M9,N9,O9))</f>
        <v>0</v>
      </c>
    </row>
    <row r="10" spans="1:16" ht="24.95" customHeight="1">
      <c r="A10" s="375">
        <v>6</v>
      </c>
      <c r="B10" s="376" t="str">
        <f>+'Parties groupes_V'!I15</f>
        <v>GINESTE Thierry</v>
      </c>
      <c r="C10" s="183">
        <f>INDEX('Parties groupes_V'!$K$13:$K$17,MATCH(B10,'Parties groupes_V'!$I$13:$I$17,0))</f>
        <v>0</v>
      </c>
      <c r="D10" s="183">
        <f>INDEX('Parties groupes_V'!$T$13:$T$17,MATCH(B10,'Parties groupes_V'!$R$13:$R$17,0))</f>
        <v>0</v>
      </c>
      <c r="E10" s="183">
        <f>INDEX('Parties groupes_V'!$AC$13:$AC$17,MATCH(B10,'Parties groupes_V'!$AA$13:$AA$17,0))</f>
        <v>0</v>
      </c>
      <c r="F10" s="369">
        <f>IF((C10=""),"",SUM(C10:E10))</f>
        <v>0</v>
      </c>
      <c r="G10" s="183" t="str">
        <f>IF(ISNA(MATCH(B10,'Parties groupes_V'!$AI$13:$AI$17,0)),"",INDEX('Parties groupes_V'!$AL$13:$AL$17,MATCH(B10,'Parties groupes_V'!$AI$13:$AI$17,0)))</f>
        <v/>
      </c>
      <c r="H10" s="183" t="str">
        <f>IF(ISNA(MATCH(B10,'Parties groupes_V'!$AI$13:$AI$17,0)),"",INDEX('Parties groupes_V'!$AM$13:$AM$17,MATCH(B10,'Parties groupes_V'!$AI$13:$AI$17,0)))</f>
        <v/>
      </c>
      <c r="I10" s="183" t="str">
        <f>IF(ISNA(MATCH(B10,'Parties groupes_V'!$AI$13:$AI$17,0)),"",INDEX('Parties groupes_V'!$AN$13:$AN$17,MATCH(B10,'Parties groupes_V'!$AI$13:$AI$17,0)))</f>
        <v/>
      </c>
      <c r="J10" s="183" t="str">
        <f>IF(ISNA(MATCH(B10,'Parties groupes_V'!$AI$13:$AI$17,0)),"",INDEX('Parties groupes_V'!$AO$13:$AO$17,MATCH(B10,'Parties groupes_V'!$AI$13:$AI$17,0)))</f>
        <v/>
      </c>
      <c r="K10" s="370" t="str">
        <f>IF(ISNA(MATCH(B10,'Parties groupes_V'!$AU$13:$AU$17,0)),"",INDEX('Parties groupes_V'!$AT$13:$AT$17,MATCH(B10,'Parties groupes_V'!$AU$13:$AU$17,0)))</f>
        <v/>
      </c>
      <c r="L10" s="370">
        <f>IF((D10=""),"",IF((K10=1),6,IF((K10=2),4,IF((K10=3),2,0))))</f>
        <v>0</v>
      </c>
      <c r="M10" s="72" t="str">
        <f>IF((K10=""),"",IF(OR(K10=1,K10=4,K10=5),"",IF(('Phases Finales'!$D$14=""),"",VLOOKUP(B10,'Phases Finales'!$T$7:$Z$14,4,0))))</f>
        <v/>
      </c>
      <c r="N10" s="72" t="str">
        <f>IF((K10=""),"",IF(OR(K10=2,K10=3,K10=4,K10=5),"",IF(('Phases Finales'!$I$14=""),"",VLOOKUP(B10,'Phases Finales'!$X$8:$AA$13,4,0))))</f>
        <v/>
      </c>
      <c r="O10" s="370" t="str">
        <f>IF(OR(N10="",N10=0),"",VLOOKUP(B10,'Phases Finales'!$AB$10:$AE$11,4,0))</f>
        <v/>
      </c>
      <c r="P10" s="371">
        <f>IF((E10=""),"",SUM(F10,L10,M10,N10,O10))</f>
        <v>0</v>
      </c>
    </row>
    <row r="11" spans="1:16" ht="24.95" customHeight="1">
      <c r="A11" s="375">
        <v>7</v>
      </c>
      <c r="B11" s="376" t="str">
        <f>+'Parties groupes_V'!I25</f>
        <v>CHARBONNIER Daniel</v>
      </c>
      <c r="C11" s="183">
        <f>INDEX('Parties groupes_V'!$K$25:$K$29,MATCH(B11,'Parties groupes_V'!$I$25:$I$29,0))</f>
        <v>0</v>
      </c>
      <c r="D11" s="183">
        <f>INDEX('Parties groupes_V'!$T$25:$T$29,MATCH(B11,'Parties groupes_V'!$R$25:$R$29,0))</f>
        <v>0</v>
      </c>
      <c r="E11" s="183">
        <f>INDEX('Parties groupes_V'!$AC$25:$AC$29,MATCH(B11,'Parties groupes_V'!$AA$25:$AA$29,0))</f>
        <v>0</v>
      </c>
      <c r="F11" s="369">
        <f>IF((C11=""),"",SUM(C11:E11))</f>
        <v>0</v>
      </c>
      <c r="G11" s="183" t="str">
        <f>IF(ISNA(MATCH(B11,'Parties groupes_V'!$AI$25:$AI$29,0)),"",INDEX('Parties groupes_V'!$AL$25:$AL$29,MATCH(B11,'Parties groupes_V'!$AI$25:$AI$29,0)))</f>
        <v/>
      </c>
      <c r="H11" s="183" t="str">
        <f>IF(ISNA(MATCH(B11,'Parties groupes_V'!$AI$25:$AI$29,0)),"",INDEX('Parties groupes_V'!$AM$25:$AM$29,MATCH(B11,'Parties groupes_V'!$AI$25:$AI$29,0)))</f>
        <v/>
      </c>
      <c r="I11" s="183" t="str">
        <f>IF(ISNA(MATCH(B11,'Parties groupes_V'!$AI$25:$AI$29,0)),"",INDEX('Parties groupes_V'!$AN$25:$AN$29,MATCH(B11,'Parties groupes_V'!$AI$25:$AI$29,0)))</f>
        <v/>
      </c>
      <c r="J11" s="183" t="str">
        <f>IF(ISNA(MATCH(B11,'Parties groupes_V'!$AI$25:$AI$29,0)),"",INDEX('Parties groupes_V'!$AO$25:$AO$29,MATCH(B11,'Parties groupes_V'!$AI$25:$AI$29,0)))</f>
        <v/>
      </c>
      <c r="K11" s="370" t="str">
        <f>IF(ISNA(MATCH(B11,'Parties groupes_V'!$AU$25:$AU$29,0)),"",INDEX('Parties groupes_V'!$AT$25:$AT$29,MATCH(B11,'Parties groupes_V'!$AU$25:$AU$29,0)))</f>
        <v/>
      </c>
      <c r="L11" s="370">
        <f>IF((D11=""),"",IF((K11=1),6,IF((K11=2),4,IF((K11=3),2,0))))</f>
        <v>0</v>
      </c>
      <c r="M11" s="72" t="str">
        <f>IF((K11=""),"",IF(OR(K11=1,K11=4,K11=5),"",IF(('Phases Finales'!$D$14=""),"",VLOOKUP(B11,'Phases Finales'!$T$7:$Z$14,4,0))))</f>
        <v/>
      </c>
      <c r="N11" s="72" t="str">
        <f>IF((K11=""),"",IF(OR(K11=2,K11=3,K11=4,K11=5),"",IF(('Phases Finales'!$I$14=""),"",VLOOKUP(B11,'Phases Finales'!$X$8:$AA$13,4,0))))</f>
        <v/>
      </c>
      <c r="O11" s="370" t="str">
        <f>IF(OR(N11="",N11=0),"",VLOOKUP(B11,'Phases Finales'!$AB$10:$AE$11,4,0))</f>
        <v/>
      </c>
      <c r="P11" s="371">
        <f>IF((E11=""),"",SUM(F11,L11,M11,N11,O11))</f>
        <v>0</v>
      </c>
    </row>
    <row r="12" spans="1:16" ht="24.95" customHeight="1">
      <c r="A12" s="375">
        <v>8</v>
      </c>
      <c r="B12" s="376" t="str">
        <f>+'Parties groupes_V'!I27</f>
        <v>BESSON Alain</v>
      </c>
      <c r="C12" s="183">
        <f>INDEX('Parties groupes_V'!$K$25:$K$29,MATCH(B12,'Parties groupes_V'!$I$25:$I$29,0))</f>
        <v>0</v>
      </c>
      <c r="D12" s="183">
        <f>INDEX('Parties groupes_V'!$T$25:$T$29,MATCH(B12,'Parties groupes_V'!$R$25:$R$29,0))</f>
        <v>0</v>
      </c>
      <c r="E12" s="183">
        <f>INDEX('Parties groupes_V'!$AC$25:$AC$29,MATCH(B12,'Parties groupes_V'!$AA$25:$AA$29,0))</f>
        <v>0</v>
      </c>
      <c r="F12" s="369">
        <f>IF((C12=""),"",SUM(C12:E12))</f>
        <v>0</v>
      </c>
      <c r="G12" s="183" t="str">
        <f>IF(ISNA(MATCH(B12,'Parties groupes_V'!$AI$25:$AI$29,0)),"",INDEX('Parties groupes_V'!$AL$25:$AL$29,MATCH(B12,'Parties groupes_V'!$AI$25:$AI$29,0)))</f>
        <v/>
      </c>
      <c r="H12" s="183" t="str">
        <f>IF(ISNA(MATCH(B12,'Parties groupes_V'!$AI$25:$AI$29,0)),"",INDEX('Parties groupes_V'!$AM$25:$AM$29,MATCH(B12,'Parties groupes_V'!$AI$25:$AI$29,0)))</f>
        <v/>
      </c>
      <c r="I12" s="183" t="str">
        <f>IF(ISNA(MATCH(B12,'Parties groupes_V'!$AI$25:$AI$29,0)),"",INDEX('Parties groupes_V'!$AN$25:$AN$29,MATCH(B12,'Parties groupes_V'!$AI$25:$AI$29,0)))</f>
        <v/>
      </c>
      <c r="J12" s="183" t="str">
        <f>IF(ISNA(MATCH(B12,'Parties groupes_V'!$AI$25:$AI$29,0)),"",INDEX('Parties groupes_V'!$AO$25:$AO$29,MATCH(B12,'Parties groupes_V'!$AI$25:$AI$29,0)))</f>
        <v/>
      </c>
      <c r="K12" s="370" t="str">
        <f>IF(ISNA(MATCH(B12,'Parties groupes_V'!$AU$25:$AU$29,0)),"",INDEX('Parties groupes_V'!$AT$25:$AT$29,MATCH(B12,'Parties groupes_V'!$AU$25:$AU$29,0)))</f>
        <v/>
      </c>
      <c r="L12" s="370">
        <f>IF((D12=""),"",IF((K12=1),6,IF((K12=2),4,IF((K12=3),2,0))))</f>
        <v>0</v>
      </c>
      <c r="M12" s="72" t="str">
        <f>IF((K12=""),"",IF(OR(K12=1,K12=4,K12=5),"",IF(('Phases Finales'!$D$14=""),"",VLOOKUP(B12,'Phases Finales'!$T$7:$Z$14,4,0))))</f>
        <v/>
      </c>
      <c r="N12" s="72" t="str">
        <f>IF((K12=""),"",IF(OR(K12=2,K12=3,K12=4,K12=5),"",IF(('Phases Finales'!$I$14=""),"",VLOOKUP(B12,'Phases Finales'!$X$8:$AA$13,4,0))))</f>
        <v/>
      </c>
      <c r="O12" s="370" t="str">
        <f>IF(OR(N12="",N12=0),"",VLOOKUP(B12,'Phases Finales'!$AB$10:$AE$11,4,0))</f>
        <v/>
      </c>
      <c r="P12" s="371">
        <f>IF((E12=""),"",SUM(F12,L12,M12,N12,O12))</f>
        <v>0</v>
      </c>
    </row>
    <row r="13" spans="1:16" ht="24.95" customHeight="1">
      <c r="A13" s="375">
        <v>9</v>
      </c>
      <c r="B13" s="376" t="s">
        <v>157</v>
      </c>
      <c r="C13" s="183">
        <v>2</v>
      </c>
      <c r="D13" s="183">
        <v>2</v>
      </c>
      <c r="E13" s="183">
        <v>2</v>
      </c>
      <c r="F13" s="369">
        <v>6</v>
      </c>
      <c r="G13" s="183">
        <v>35</v>
      </c>
      <c r="H13" s="183">
        <v>14</v>
      </c>
      <c r="I13" s="183">
        <v>0</v>
      </c>
      <c r="J13" s="183">
        <v>0</v>
      </c>
      <c r="K13" s="370">
        <v>1</v>
      </c>
      <c r="L13" s="370">
        <v>6</v>
      </c>
      <c r="M13" s="72"/>
      <c r="N13" s="72">
        <v>0</v>
      </c>
      <c r="O13" s="370"/>
      <c r="P13" s="371">
        <v>12</v>
      </c>
    </row>
    <row r="14" spans="1:16" ht="24.95" customHeight="1">
      <c r="A14" s="375">
        <v>10</v>
      </c>
      <c r="B14" s="376" t="s">
        <v>165</v>
      </c>
      <c r="C14" s="183">
        <v>2</v>
      </c>
      <c r="D14" s="183">
        <v>2</v>
      </c>
      <c r="E14" s="183">
        <v>2</v>
      </c>
      <c r="F14" s="369">
        <v>6</v>
      </c>
      <c r="G14" s="183">
        <v>39</v>
      </c>
      <c r="H14" s="183">
        <v>16</v>
      </c>
      <c r="I14" s="183">
        <v>0</v>
      </c>
      <c r="J14" s="183">
        <v>0</v>
      </c>
      <c r="K14" s="370">
        <v>1</v>
      </c>
      <c r="L14" s="370">
        <v>6</v>
      </c>
      <c r="M14" s="72"/>
      <c r="N14" s="72">
        <v>0</v>
      </c>
      <c r="O14" s="370"/>
      <c r="P14" s="371">
        <v>12</v>
      </c>
    </row>
    <row r="15" spans="1:16" ht="24.95" customHeight="1">
      <c r="A15" s="375">
        <v>11</v>
      </c>
      <c r="B15" s="376" t="str">
        <f>+'Parties groupes_V'!I16</f>
        <v xml:space="preserve">VERSINO Fabien </v>
      </c>
      <c r="C15" s="183">
        <f>INDEX('Parties groupes_V'!$K$13:$K$17,MATCH(B15,'Parties groupes_V'!$I$13:$I$17,0))</f>
        <v>0</v>
      </c>
      <c r="D15" s="183">
        <f>INDEX('Parties groupes_V'!$T$13:$T$17,MATCH(B15,'Parties groupes_V'!$R$13:$R$17,0))</f>
        <v>0</v>
      </c>
      <c r="E15" s="183">
        <f>INDEX('Parties groupes_V'!$AC$13:$AC$17,MATCH(B15,'Parties groupes_V'!$AA$13:$AA$17,0))</f>
        <v>0</v>
      </c>
      <c r="F15" s="369">
        <f>IF((C15=""),"",SUM(C15:E15))</f>
        <v>0</v>
      </c>
      <c r="G15" s="183" t="str">
        <f>IF(ISNA(MATCH(B15,'Parties groupes_V'!$AI$13:$AI$17,0)),"",INDEX('Parties groupes_V'!$AL$13:$AL$17,MATCH(B15,'Parties groupes_V'!$AI$13:$AI$17,0)))</f>
        <v/>
      </c>
      <c r="H15" s="183" t="str">
        <f>IF(ISNA(MATCH(B15,'Parties groupes_V'!$AI$13:$AI$17,0)),"",INDEX('Parties groupes_V'!$AM$13:$AM$17,MATCH(B15,'Parties groupes_V'!$AI$13:$AI$17,0)))</f>
        <v/>
      </c>
      <c r="I15" s="183" t="str">
        <f>IF(ISNA(MATCH(B15,'Parties groupes_V'!$AI$13:$AI$17,0)),"",INDEX('Parties groupes_V'!$AN$13:$AN$17,MATCH(B15,'Parties groupes_V'!$AI$13:$AI$17,0)))</f>
        <v/>
      </c>
      <c r="J15" s="183" t="str">
        <f>IF(ISNA(MATCH(B15,'Parties groupes_V'!$AI$13:$AI$17,0)),"",INDEX('Parties groupes_V'!$AO$13:$AO$17,MATCH(B15,'Parties groupes_V'!$AI$13:$AI$17,0)))</f>
        <v/>
      </c>
      <c r="K15" s="370" t="str">
        <f>IF(ISNA(MATCH(B15,'Parties groupes_V'!$AU$13:$AU$17,0)),"",INDEX('Parties groupes_V'!$AT$13:$AT$17,MATCH(B15,'Parties groupes_V'!$AU$13:$AU$17,0)))</f>
        <v/>
      </c>
      <c r="L15" s="370">
        <f>IF((D15=""),"",IF((K15=1),6,IF((K15=2),4,IF((K15=3),2,0))))</f>
        <v>0</v>
      </c>
      <c r="M15" s="72" t="str">
        <f>IF((K15=""),"",IF(OR(K15=1,K15=4,K15=5),"",IF(('Phases Finales'!$D$14=""),"",VLOOKUP(B15,'Phases Finales'!$T$7:$Z$14,4,0))))</f>
        <v/>
      </c>
      <c r="N15" s="72" t="str">
        <f>IF((K15=""),"",IF(OR(K15=2,K15=3,K15=4,K15=5),"",IF(('Phases Finales'!$I$14=""),"",VLOOKUP(B15,'Phases Finales'!$X$8:$AA$13,4,0))))</f>
        <v/>
      </c>
      <c r="O15" s="370" t="str">
        <f>IF(OR(N15="",N15=0),"",VLOOKUP(B15,'Phases Finales'!$AB$10:$AE$11,4,0))</f>
        <v/>
      </c>
      <c r="P15" s="371">
        <f>IF((E15=""),"",SUM(F15,L15,M15,N15,O15))</f>
        <v>0</v>
      </c>
    </row>
    <row r="16" spans="1:16" ht="24.95" customHeight="1">
      <c r="A16" s="375">
        <v>12</v>
      </c>
      <c r="B16" s="376" t="str">
        <f>+'Parties groupes_V'!I20</f>
        <v>YANEZ José</v>
      </c>
      <c r="C16" s="183">
        <f>INDEX('Parties groupes_V'!$K$19:$K$23,MATCH(B16,'Parties groupes_V'!$I$19:$I$23,0))</f>
        <v>0</v>
      </c>
      <c r="D16" s="183">
        <f>INDEX('Parties groupes_V'!$T$19:$T$23,MATCH(B16,'Parties groupes_V'!$R$19:$R$23,0))</f>
        <v>0</v>
      </c>
      <c r="E16" s="183">
        <f>INDEX('Parties groupes_V'!$AC$19:$AC$23,MATCH(B16,'Parties groupes_V'!$AA$19:$AA$23,0))</f>
        <v>0</v>
      </c>
      <c r="F16" s="369">
        <f>IF((C16=""),"",SUM(C16:E16))</f>
        <v>0</v>
      </c>
      <c r="G16" s="183" t="str">
        <f>IF(ISNA(MATCH(B16,'Parties groupes_V'!$AI$19:$AI$23,0)),"",INDEX('Parties groupes_V'!$AL$19:$AL$23,MATCH(B16,'Parties groupes_V'!$AI$19:$AI$23,0)))</f>
        <v/>
      </c>
      <c r="H16" s="183" t="str">
        <f>IF(ISNA(MATCH(B16,'Parties groupes_V'!$AI$19:$AI$23,0)),"",INDEX('Parties groupes_V'!$AM$19:$AM$23,MATCH(B16,'Parties groupes_V'!$AI$19:$AI$23,0)))</f>
        <v/>
      </c>
      <c r="I16" s="183" t="str">
        <f>IF(ISNA(MATCH(B16,'Parties groupes_V'!$AI$19:$AI$23,0)),"",INDEX('Parties groupes_V'!$AN$19:$AN$23,MATCH(B16,'Parties groupes_V'!$AI$19:$AI$23,0)))</f>
        <v/>
      </c>
      <c r="J16" s="183" t="str">
        <f>IF(ISNA(MATCH(B16,'Parties groupes_V'!$AI$19:$AI$23,0)),"",INDEX('Parties groupes_V'!$AO$19:$AO$23,MATCH(B16,'Parties groupes_V'!$AI$19:$AI$23,0)))</f>
        <v/>
      </c>
      <c r="K16" s="370" t="str">
        <f>IF(ISNA(MATCH(B16,'Parties groupes_V'!$AU$19:$AU$23,0)),"",INDEX('Parties groupes_V'!$AT$19:$AT$23,MATCH(B16,'Parties groupes_V'!$AU$19:$AU$23,0)))</f>
        <v/>
      </c>
      <c r="L16" s="370">
        <f>IF((D16=""),"",IF((K16=1),6,IF((K16=2),4,IF((K16=3),2,0))))</f>
        <v>0</v>
      </c>
      <c r="M16" s="72" t="str">
        <f>IF((K16=""),"",IF(OR(K16=1,K16=4,K16=5),"",IF(('Phases Finales'!$D$14=""),"",VLOOKUP(B16,'Phases Finales'!$T$7:$Z$14,4,0))))</f>
        <v/>
      </c>
      <c r="N16" s="72" t="str">
        <f>IF((K16=""),"",IF(OR(K16=2,K16=3,K16=4,K16=5),"",IF(('Phases Finales'!$I$14=""),"",VLOOKUP(B16,'Phases Finales'!$X$8:$AA$13,4,0))))</f>
        <v/>
      </c>
      <c r="O16" s="370" t="str">
        <f>IF(OR(N16="",N16=0),"",VLOOKUP(B16,'Phases Finales'!$AB$10:$AE$11,4,0))</f>
        <v/>
      </c>
      <c r="P16" s="371">
        <f>IF((E16=""),"",SUM(F16,L16,M16,N16,O16))</f>
        <v>0</v>
      </c>
    </row>
    <row r="17" spans="1:16" ht="24.95" customHeight="1">
      <c r="A17" s="375">
        <v>13</v>
      </c>
      <c r="B17" s="376" t="s">
        <v>160</v>
      </c>
      <c r="C17" s="183">
        <v>2</v>
      </c>
      <c r="D17" s="183">
        <v>2</v>
      </c>
      <c r="E17" s="183">
        <v>2</v>
      </c>
      <c r="F17" s="369">
        <v>6</v>
      </c>
      <c r="G17" s="183">
        <v>38</v>
      </c>
      <c r="H17" s="183">
        <v>24</v>
      </c>
      <c r="I17" s="183">
        <v>0</v>
      </c>
      <c r="J17" s="183">
        <v>0</v>
      </c>
      <c r="K17" s="370">
        <v>2</v>
      </c>
      <c r="L17" s="370">
        <v>4</v>
      </c>
      <c r="M17" s="72">
        <v>0</v>
      </c>
      <c r="N17" s="72"/>
      <c r="O17" s="370"/>
      <c r="P17" s="371">
        <v>10</v>
      </c>
    </row>
    <row r="18" spans="1:16" ht="24.95" customHeight="1">
      <c r="A18" s="375">
        <v>14</v>
      </c>
      <c r="B18" s="376" t="s">
        <v>163</v>
      </c>
      <c r="C18" s="183">
        <v>2</v>
      </c>
      <c r="D18" s="183">
        <v>2</v>
      </c>
      <c r="E18" s="183">
        <v>2</v>
      </c>
      <c r="F18" s="369">
        <v>6</v>
      </c>
      <c r="G18" s="183">
        <v>34</v>
      </c>
      <c r="H18" s="183">
        <v>13</v>
      </c>
      <c r="I18" s="183">
        <v>0</v>
      </c>
      <c r="J18" s="183">
        <v>0</v>
      </c>
      <c r="K18" s="370">
        <v>2</v>
      </c>
      <c r="L18" s="370">
        <v>4</v>
      </c>
      <c r="M18" s="72">
        <v>0</v>
      </c>
      <c r="N18" s="72"/>
      <c r="O18" s="370"/>
      <c r="P18" s="371">
        <v>10</v>
      </c>
    </row>
    <row r="19" spans="1:16" ht="24.95" customHeight="1">
      <c r="A19" s="375">
        <v>15</v>
      </c>
      <c r="B19" s="376" t="s">
        <v>151</v>
      </c>
      <c r="C19" s="183">
        <v>2</v>
      </c>
      <c r="D19" s="183">
        <v>2</v>
      </c>
      <c r="E19" s="183">
        <v>0</v>
      </c>
      <c r="F19" s="369">
        <v>4</v>
      </c>
      <c r="G19" s="183">
        <v>32</v>
      </c>
      <c r="H19" s="183">
        <v>21</v>
      </c>
      <c r="I19" s="183">
        <v>0</v>
      </c>
      <c r="J19" s="183">
        <v>0</v>
      </c>
      <c r="K19" s="370">
        <v>2</v>
      </c>
      <c r="L19" s="370">
        <v>4</v>
      </c>
      <c r="M19" s="72">
        <v>0</v>
      </c>
      <c r="N19" s="72"/>
      <c r="O19" s="370"/>
      <c r="P19" s="371">
        <v>8</v>
      </c>
    </row>
    <row r="20" spans="1:16" ht="24.95" customHeight="1">
      <c r="A20" s="375">
        <v>16</v>
      </c>
      <c r="B20" s="376" t="s">
        <v>152</v>
      </c>
      <c r="C20" s="183">
        <v>2</v>
      </c>
      <c r="D20" s="183">
        <v>0</v>
      </c>
      <c r="E20" s="183">
        <v>2</v>
      </c>
      <c r="F20" s="369">
        <v>4</v>
      </c>
      <c r="G20" s="183">
        <v>28</v>
      </c>
      <c r="H20" s="183">
        <v>22</v>
      </c>
      <c r="I20" s="183">
        <v>0</v>
      </c>
      <c r="J20" s="183">
        <v>1</v>
      </c>
      <c r="K20" s="370">
        <v>3</v>
      </c>
      <c r="L20" s="370">
        <v>2</v>
      </c>
      <c r="M20" s="72">
        <v>2</v>
      </c>
      <c r="N20" s="72"/>
      <c r="O20" s="370"/>
      <c r="P20" s="371">
        <v>8</v>
      </c>
    </row>
    <row r="21" spans="1:16" ht="24.95" customHeight="1">
      <c r="A21" s="375">
        <v>17</v>
      </c>
      <c r="B21" s="376" t="s">
        <v>153</v>
      </c>
      <c r="C21" s="183">
        <v>2</v>
      </c>
      <c r="D21" s="183">
        <v>0</v>
      </c>
      <c r="E21" s="183">
        <v>2</v>
      </c>
      <c r="F21" s="369">
        <v>4</v>
      </c>
      <c r="G21" s="183">
        <v>32</v>
      </c>
      <c r="H21" s="183">
        <v>20</v>
      </c>
      <c r="I21" s="183">
        <v>0</v>
      </c>
      <c r="J21" s="183">
        <v>0</v>
      </c>
      <c r="K21" s="370">
        <v>2</v>
      </c>
      <c r="L21" s="370">
        <v>4</v>
      </c>
      <c r="M21" s="72">
        <v>0</v>
      </c>
      <c r="N21" s="72"/>
      <c r="O21" s="370"/>
      <c r="P21" s="371">
        <v>8</v>
      </c>
    </row>
    <row r="22" spans="1:16" ht="24.95" customHeight="1">
      <c r="A22" s="375">
        <v>18</v>
      </c>
      <c r="B22" s="376" t="s">
        <v>155</v>
      </c>
      <c r="C22" s="183">
        <v>2</v>
      </c>
      <c r="D22" s="183">
        <v>2</v>
      </c>
      <c r="E22" s="183">
        <v>0</v>
      </c>
      <c r="F22" s="369">
        <v>4</v>
      </c>
      <c r="G22" s="183">
        <v>27</v>
      </c>
      <c r="H22" s="183">
        <v>23</v>
      </c>
      <c r="I22" s="183">
        <v>0</v>
      </c>
      <c r="J22" s="183">
        <v>0</v>
      </c>
      <c r="K22" s="370">
        <v>3</v>
      </c>
      <c r="L22" s="370">
        <v>2</v>
      </c>
      <c r="M22" s="72">
        <v>2</v>
      </c>
      <c r="N22" s="72"/>
      <c r="O22" s="370"/>
      <c r="P22" s="371">
        <v>8</v>
      </c>
    </row>
    <row r="23" spans="1:16" ht="24.95" customHeight="1">
      <c r="A23" s="375">
        <v>19</v>
      </c>
      <c r="B23" s="376" t="s">
        <v>162</v>
      </c>
      <c r="C23" s="183">
        <v>2</v>
      </c>
      <c r="D23" s="183">
        <v>2</v>
      </c>
      <c r="E23" s="183">
        <v>0</v>
      </c>
      <c r="F23" s="369">
        <v>4</v>
      </c>
      <c r="G23" s="183">
        <v>29</v>
      </c>
      <c r="H23" s="183">
        <v>22</v>
      </c>
      <c r="I23" s="183">
        <v>0</v>
      </c>
      <c r="J23" s="183">
        <v>0</v>
      </c>
      <c r="K23" s="370">
        <v>3</v>
      </c>
      <c r="L23" s="370">
        <v>2</v>
      </c>
      <c r="M23" s="72">
        <v>2</v>
      </c>
      <c r="N23" s="72"/>
      <c r="O23" s="370"/>
      <c r="P23" s="371">
        <v>8</v>
      </c>
    </row>
    <row r="24" spans="1:16" ht="24.95" customHeight="1">
      <c r="A24" s="375">
        <v>20</v>
      </c>
      <c r="B24" s="376" t="s">
        <v>164</v>
      </c>
      <c r="C24" s="183">
        <v>0</v>
      </c>
      <c r="D24" s="183">
        <v>2</v>
      </c>
      <c r="E24" s="183">
        <v>2</v>
      </c>
      <c r="F24" s="369">
        <v>4</v>
      </c>
      <c r="G24" s="183">
        <v>30</v>
      </c>
      <c r="H24" s="183">
        <v>11</v>
      </c>
      <c r="I24" s="183">
        <v>0</v>
      </c>
      <c r="J24" s="183">
        <v>0</v>
      </c>
      <c r="K24" s="370">
        <v>3</v>
      </c>
      <c r="L24" s="370">
        <v>2</v>
      </c>
      <c r="M24" s="72">
        <v>2</v>
      </c>
      <c r="N24" s="72"/>
      <c r="O24" s="370"/>
      <c r="P24" s="371">
        <v>8</v>
      </c>
    </row>
    <row r="25" spans="1:16" ht="18">
      <c r="A25" s="375">
        <v>21</v>
      </c>
      <c r="B25" s="376" t="str">
        <f>+'Parties groupes_V'!I9</f>
        <v>TEIL Gilbert</v>
      </c>
      <c r="C25" s="183">
        <f>INDEX('Parties groupes_V'!$K$7:$K$11,MATCH(B25,'Parties groupes_V'!$I$7:$I$11,0))</f>
        <v>0</v>
      </c>
      <c r="D25" s="183">
        <f>INDEX('Parties groupes_V'!$T$7:$T$11,MATCH(B25,'Parties groupes_V'!$R$7:$R$11,0))</f>
        <v>0</v>
      </c>
      <c r="E25" s="183">
        <f>INDEX('Parties groupes_V'!$AC$7:$AC$11,MATCH(B25,'Parties groupes_V'!$AA$7:$AA$11,0))</f>
        <v>0</v>
      </c>
      <c r="F25" s="369">
        <f t="shared" ref="F25:F34" si="0">IF((C25=""),"",SUM(C25:E25))</f>
        <v>0</v>
      </c>
      <c r="G25" s="183" t="str">
        <f>IF(ISNA(MATCH(B25,'Parties groupes_V'!$AI$7:$AI$11,0)),"",INDEX('Parties groupes_V'!$AL$7:$AL$11,MATCH(B25,'Parties groupes_V'!$AI$7:$AI$11,0)))</f>
        <v/>
      </c>
      <c r="H25" s="183" t="str">
        <f>IF(ISNA(MATCH(B25,'Parties groupes_V'!$AI$7:$AI$11,0)),"",INDEX('Parties groupes_V'!$AM$7:$AM$11,MATCH(B25,'Parties groupes_V'!$AI$7:$AI$11,0)))</f>
        <v/>
      </c>
      <c r="I25" s="183" t="str">
        <f>IF(ISNA(MATCH(B25,'Parties groupes_V'!$AI$7:$AI$11,0)),"",INDEX('Parties groupes_V'!$AN$7:$AN$11,MATCH(B25,'Parties groupes_V'!$AI$7:$AI$11,0)))</f>
        <v/>
      </c>
      <c r="J25" s="183" t="str">
        <f>IF(ISNA(MATCH(B25,'Parties groupes_V'!$AI$7:$AI$11,0)),"",INDEX('Parties groupes_V'!$AO$7:$AO$11,MATCH(B25,'Parties groupes_V'!$AI$7:$AI$11,0)))</f>
        <v/>
      </c>
      <c r="K25" s="370" t="str">
        <f>IF(ISNA(MATCH(B25,'Parties groupes_V'!$AU$7:$AU$11,0)),"",INDEX('Parties groupes_V'!$AT$7:$AT$11,MATCH(B25,'Parties groupes_V'!$AU$7:$AU$11,0)))</f>
        <v/>
      </c>
      <c r="L25" s="370">
        <f t="shared" ref="L25:L34" si="1">IF((D25=""),"",IF((K25=1),6,IF((K25=2),4,IF((K25=3),2,0))))</f>
        <v>0</v>
      </c>
      <c r="M25" s="72" t="str">
        <f>IF((K25=""),"",IF(OR(K25=1,K25=4,K25=5),"",IF(('Phases Finales'!$D$14=""),"",VLOOKUP(B25,'Phases Finales'!$T$7:$Z$14,4,0))))</f>
        <v/>
      </c>
      <c r="N25" s="72" t="str">
        <f>IF((K25=""),"",IF(OR(K25=2,K25=3,K25=4,K25=5),"",IF(('Phases Finales'!$I$14=""),"",VLOOKUP(B25,'Phases Finales'!$X$8:$AA$13,4,0))))</f>
        <v/>
      </c>
      <c r="O25" s="370" t="str">
        <f>IF(OR(N25="",N25=0),"",VLOOKUP(B25,'Phases Finales'!$AB$10:$AE$11,4,0))</f>
        <v/>
      </c>
      <c r="P25" s="371">
        <f t="shared" ref="P25:P34" si="2">IF((E25=""),"",SUM(F25,L25,M25,N25,O25))</f>
        <v>0</v>
      </c>
    </row>
    <row r="26" spans="1:16" ht="18">
      <c r="A26" s="375">
        <v>22</v>
      </c>
      <c r="B26" s="376" t="str">
        <f>+'Parties groupes_V'!I13</f>
        <v>CHIROL antoine</v>
      </c>
      <c r="C26" s="183">
        <f>INDEX('Parties groupes_V'!$K$13:$K$17,MATCH(B26,'Parties groupes_V'!$I$13:$I$17,0))</f>
        <v>0</v>
      </c>
      <c r="D26" s="183">
        <f>INDEX('Parties groupes_V'!$T$13:$T$17,MATCH(B26,'Parties groupes_V'!$R$13:$R$17,0))</f>
        <v>0</v>
      </c>
      <c r="E26" s="183">
        <f>INDEX('Parties groupes_V'!$AC$13:$AC$17,MATCH(B26,'Parties groupes_V'!$AA$13:$AA$17,0))</f>
        <v>0</v>
      </c>
      <c r="F26" s="369">
        <f t="shared" si="0"/>
        <v>0</v>
      </c>
      <c r="G26" s="183" t="str">
        <f>IF(ISNA(MATCH(B26,'Parties groupes_V'!$AI$13:$AI$17,0)),"",INDEX('Parties groupes_V'!$AL$13:$AL$17,MATCH(B26,'Parties groupes_V'!$AI$13:$AI$17,0)))</f>
        <v/>
      </c>
      <c r="H26" s="183" t="str">
        <f>IF(ISNA(MATCH(B26,'Parties groupes_V'!$AI$13:$AI$17,0)),"",INDEX('Parties groupes_V'!$AM$13:$AM$17,MATCH(B26,'Parties groupes_V'!$AI$13:$AI$17,0)))</f>
        <v/>
      </c>
      <c r="I26" s="183" t="str">
        <f>IF(ISNA(MATCH(B26,'Parties groupes_V'!$AI$13:$AI$17,0)),"",INDEX('Parties groupes_V'!$AN$13:$AN$17,MATCH(B26,'Parties groupes_V'!$AI$13:$AI$17,0)))</f>
        <v/>
      </c>
      <c r="J26" s="183" t="str">
        <f>IF(ISNA(MATCH(B26,'Parties groupes_V'!$AI$13:$AI$17,0)),"",INDEX('Parties groupes_V'!$AO$13:$AO$17,MATCH(B26,'Parties groupes_V'!$AI$13:$AI$17,0)))</f>
        <v/>
      </c>
      <c r="K26" s="370" t="str">
        <f>IF(ISNA(MATCH(B26,'Parties groupes_V'!$AU$13:$AU$17,0)),"",INDEX('Parties groupes_V'!$AT$13:$AT$17,MATCH(B26,'Parties groupes_V'!$AU$13:$AU$17,0)))</f>
        <v/>
      </c>
      <c r="L26" s="72">
        <f t="shared" si="1"/>
        <v>0</v>
      </c>
      <c r="M26" s="72" t="str">
        <f>IF((K26=""),"",IF(OR(K26=1,K26=4,K26=5),"",IF(('Phases Finales'!$D$14=""),"",VLOOKUP(B26,'Phases Finales'!$T$7:$Z$14,4,0))))</f>
        <v/>
      </c>
      <c r="N26" s="72" t="str">
        <f>IF((K26=""),"",IF(OR(K26=2,K26=3,K26=4,K26=5),"",IF(('Phases Finales'!$I$14=""),"",VLOOKUP(B26,'Phases Finales'!$X$8:$AA$13,4,0))))</f>
        <v/>
      </c>
      <c r="O26" s="370" t="str">
        <f>IF(OR(N26="",N26=0),"",VLOOKUP(B26,'Phases Finales'!$AB$10:$AE$11,4,0))</f>
        <v/>
      </c>
      <c r="P26" s="371">
        <f t="shared" si="2"/>
        <v>0</v>
      </c>
    </row>
    <row r="27" spans="1:16" ht="18">
      <c r="A27" s="375">
        <v>23</v>
      </c>
      <c r="B27" s="376" t="str">
        <f>+'Parties groupes_V'!I21</f>
        <v>REYNAUD DENIS</v>
      </c>
      <c r="C27" s="183">
        <f>INDEX('Parties groupes_V'!$K$19:$K$23,MATCH(B27,'Parties groupes_V'!$I$19:$I$23,0))</f>
        <v>0</v>
      </c>
      <c r="D27" s="183">
        <f>INDEX('Parties groupes_V'!$T$19:$T$23,MATCH(B27,'Parties groupes_V'!$R$19:$R$23,0))</f>
        <v>0</v>
      </c>
      <c r="E27" s="183">
        <f>INDEX('Parties groupes_V'!$AC$19:$AC$23,MATCH(B27,'Parties groupes_V'!$AA$19:$AA$23,0))</f>
        <v>0</v>
      </c>
      <c r="F27" s="369">
        <f t="shared" si="0"/>
        <v>0</v>
      </c>
      <c r="G27" s="183" t="str">
        <f>IF(ISNA(MATCH(B27,'Parties groupes_V'!$AI$19:$AI$23,0)),"",INDEX('Parties groupes_V'!$AL$19:$AL$23,MATCH(B27,'Parties groupes_V'!$AI$19:$AI$23,0)))</f>
        <v/>
      </c>
      <c r="H27" s="183" t="str">
        <f>IF(ISNA(MATCH(B27,'Parties groupes_V'!$AI$19:$AI$23,0)),"",INDEX('Parties groupes_V'!$AM$19:$AM$23,MATCH(B27,'Parties groupes_V'!$AI$19:$AI$23,0)))</f>
        <v/>
      </c>
      <c r="I27" s="183" t="str">
        <f>IF(ISNA(MATCH(B27,'Parties groupes_V'!$AI$19:$AI$23,0)),"",INDEX('Parties groupes_V'!$AN$19:$AN$23,MATCH(B27,'Parties groupes_V'!$AI$19:$AI$23,0)))</f>
        <v/>
      </c>
      <c r="J27" s="183" t="str">
        <f>IF(ISNA(MATCH(B27,'Parties groupes_V'!$AI$19:$AI$23,0)),"",INDEX('Parties groupes_V'!$AO$19:$AO$23,MATCH(B27,'Parties groupes_V'!$AI$19:$AI$23,0)))</f>
        <v/>
      </c>
      <c r="K27" s="370" t="str">
        <f>IF(ISNA(MATCH(B27,'Parties groupes_V'!$AU$19:$AU$23,0)),"",INDEX('Parties groupes_V'!$AT$19:$AT$23,MATCH(B27,'Parties groupes_V'!$AU$19:$AU$23,0)))</f>
        <v/>
      </c>
      <c r="L27" s="370">
        <f t="shared" si="1"/>
        <v>0</v>
      </c>
      <c r="M27" s="72" t="str">
        <f>IF((K27=""),"",IF(OR(K27=1,K27=4,K27=5),"",IF(('Phases Finales'!$D$14=""),"",VLOOKUP(B27,'Phases Finales'!$T$7:$Z$14,4,0))))</f>
        <v/>
      </c>
      <c r="N27" s="72" t="str">
        <f>IF((K27=""),"",IF(OR(K27=2,K27=3,K27=4,K27=5),"",IF(('Phases Finales'!$I$14=""),"",VLOOKUP(B27,'Phases Finales'!$X$8:$AA$13,4,0))))</f>
        <v/>
      </c>
      <c r="O27" s="370" t="str">
        <f>IF(OR(N27="",N27=0),"",VLOOKUP(B27,'Phases Finales'!$AB$10:$AE$11,4,0))</f>
        <v/>
      </c>
      <c r="P27" s="371">
        <f t="shared" si="2"/>
        <v>0</v>
      </c>
    </row>
    <row r="28" spans="1:16" ht="18">
      <c r="A28" s="375">
        <v>24</v>
      </c>
      <c r="B28" s="376" t="str">
        <f>+'Parties groupes_V'!I29</f>
        <v>TRIN Serge</v>
      </c>
      <c r="C28" s="183">
        <f>INDEX('Parties groupes_V'!$K$25:$K$29,MATCH(B28,'Parties groupes_V'!$I$25:$I$29,0))</f>
        <v>0</v>
      </c>
      <c r="D28" s="183">
        <f>INDEX('Parties groupes_V'!$T$25:$T$29,MATCH(B28,'Parties groupes_V'!$R$25:$R$29,0))</f>
        <v>0</v>
      </c>
      <c r="E28" s="183">
        <f>INDEX('Parties groupes_V'!$AC$25:$AC$29,MATCH(B28,'Parties groupes_V'!$AA$25:$AA$29,0))</f>
        <v>0</v>
      </c>
      <c r="F28" s="369">
        <f t="shared" si="0"/>
        <v>0</v>
      </c>
      <c r="G28" s="183" t="str">
        <f>IF(ISNA(MATCH(B28,'Parties groupes_V'!$AI$25:$AI$29,0)),"",INDEX('Parties groupes_V'!$AL$25:$AL$29,MATCH(B28,'Parties groupes_V'!$AI$25:$AI$29,0)))</f>
        <v/>
      </c>
      <c r="H28" s="183" t="str">
        <f>IF(ISNA(MATCH(B28,'Parties groupes_V'!$AI$25:$AI$29,0)),"",INDEX('Parties groupes_V'!$AM$25:$AM$29,MATCH(B28,'Parties groupes_V'!$AI$25:$AI$29,0)))</f>
        <v/>
      </c>
      <c r="I28" s="183" t="str">
        <f>IF(ISNA(MATCH(B28,'Parties groupes_V'!$AI$25:$AI$29,0)),"",INDEX('Parties groupes_V'!$AN$25:$AN$29,MATCH(B28,'Parties groupes_V'!$AI$25:$AI$29,0)))</f>
        <v/>
      </c>
      <c r="J28" s="183" t="str">
        <f>IF(ISNA(MATCH(B28,'Parties groupes_V'!$AI$25:$AI$29,0)),"",INDEX('Parties groupes_V'!$AO$25:$AO$29,MATCH(B28,'Parties groupes_V'!$AI$25:$AI$29,0)))</f>
        <v/>
      </c>
      <c r="K28" s="370" t="str">
        <f>IF(ISNA(MATCH(B28,'Parties groupes_V'!$AU$25:$AU$29,0)),"",INDEX('Parties groupes_V'!$AT$25:$AT$29,MATCH(B28,'Parties groupes_V'!$AU$25:$AU$29,0)))</f>
        <v/>
      </c>
      <c r="L28" s="370">
        <f t="shared" si="1"/>
        <v>0</v>
      </c>
      <c r="M28" s="72" t="str">
        <f>IF((K28=""),"",IF(OR(K28=1,K28=4,K28=5),"",IF(('Phases Finales'!$D$14=""),"",VLOOKUP(B28,'Phases Finales'!$T$7:$Z$14,4,0))))</f>
        <v/>
      </c>
      <c r="N28" s="72" t="str">
        <f>IF((K28=""),"",IF(OR(K28=2,K28=3,K28=4,K28=5),"",IF(('Phases Finales'!$I$14=""),"",VLOOKUP(B28,'Phases Finales'!$X$8:$AA$13,4,0))))</f>
        <v/>
      </c>
      <c r="O28" s="370" t="str">
        <f>IF(OR(N28="",N28=0),"",VLOOKUP(B28,'Phases Finales'!$AB$10:$AE$11,4,0))</f>
        <v/>
      </c>
      <c r="P28" s="371">
        <f t="shared" si="2"/>
        <v>0</v>
      </c>
    </row>
    <row r="29" spans="1:16" ht="18">
      <c r="A29" s="375">
        <v>25</v>
      </c>
      <c r="B29" s="376" t="str">
        <f>+'Parties groupes_V'!I8</f>
        <v>BERNARD Jérémy</v>
      </c>
      <c r="C29" s="183">
        <f>INDEX('Parties groupes_V'!$K$7:$K$11,MATCH(B29,'Parties groupes_V'!$I$7:$I$11,0))</f>
        <v>0</v>
      </c>
      <c r="D29" s="183">
        <f>INDEX('Parties groupes_V'!$T$7:$T$11,MATCH(B29,'Parties groupes_V'!$R$7:$R$11,0))</f>
        <v>0</v>
      </c>
      <c r="E29" s="183">
        <f>INDEX('Parties groupes_V'!$AC$7:$AC$11,MATCH(B29,'Parties groupes_V'!$AA$7:$AA$11,0))</f>
        <v>0</v>
      </c>
      <c r="F29" s="369">
        <f t="shared" si="0"/>
        <v>0</v>
      </c>
      <c r="G29" s="183" t="str">
        <f>IF(ISNA(MATCH(B29,'Parties groupes_V'!$AI$7:$AI$11,0)),"",INDEX('Parties groupes_V'!$AL$7:$AL$11,MATCH(B29,'Parties groupes_V'!$AI$7:$AI$11,0)))</f>
        <v/>
      </c>
      <c r="H29" s="183" t="str">
        <f>IF(ISNA(MATCH(B29,'Parties groupes_V'!$AI$7:$AI$11,0)),"",INDEX('Parties groupes_V'!$AM$7:$AM$11,MATCH(B29,'Parties groupes_V'!$AI$7:$AI$11,0)))</f>
        <v/>
      </c>
      <c r="I29" s="183" t="str">
        <f>IF(ISNA(MATCH(B29,'Parties groupes_V'!$AI$7:$AI$11,0)),"",INDEX('Parties groupes_V'!$AN$7:$AN$11,MATCH(B29,'Parties groupes_V'!$AI$7:$AI$11,0)))</f>
        <v/>
      </c>
      <c r="J29" s="183" t="str">
        <f>IF(ISNA(MATCH(B29,'Parties groupes_V'!$AI$7:$AI$11,0)),"",INDEX('Parties groupes_V'!$AO$7:$AO$11,MATCH(B29,'Parties groupes_V'!$AI$7:$AI$11,0)))</f>
        <v/>
      </c>
      <c r="K29" s="370" t="str">
        <f>IF(ISNA(MATCH(B29,'Parties groupes_V'!$AU$7:$AU$11,0)),"",INDEX('Parties groupes_V'!$AT$7:$AT$11,MATCH(B29,'Parties groupes_V'!$AU$7:$AU$11,0)))</f>
        <v/>
      </c>
      <c r="L29" s="370">
        <f t="shared" si="1"/>
        <v>0</v>
      </c>
      <c r="M29" s="72" t="str">
        <f>IF((K29=""),"",IF(OR(K29=1,K29=4,K29=5),"",IF(('Phases Finales'!$D$14=""),"",VLOOKUP(B29,'Phases Finales'!$T$7:$Z$14,4,0))))</f>
        <v/>
      </c>
      <c r="N29" s="72" t="str">
        <f>IF((K29=""),"",IF(OR(K29=2,K29=3,K29=4,K29=5),"",IF(('Phases Finales'!$I$14=""),"",VLOOKUP(B29,'Phases Finales'!$X$8:$AA$13,4,0))))</f>
        <v/>
      </c>
      <c r="O29" s="370" t="str">
        <f>IF(OR(N29="",N29=0),"",VLOOKUP(B29,'Phases Finales'!$AB$10:$AE$11,4,0))</f>
        <v/>
      </c>
      <c r="P29" s="371">
        <f t="shared" si="2"/>
        <v>0</v>
      </c>
    </row>
    <row r="30" spans="1:16" ht="18">
      <c r="A30" s="375">
        <v>26</v>
      </c>
      <c r="B30" s="376" t="str">
        <f>+'Parties groupes_V'!I14</f>
        <v>VASCHALDE GUY</v>
      </c>
      <c r="C30" s="183">
        <f>INDEX('Parties groupes_V'!$K$13:$K$17,MATCH(B30,'Parties groupes_V'!$I$13:$I$17,0))</f>
        <v>0</v>
      </c>
      <c r="D30" s="183">
        <f>INDEX('Parties groupes_V'!$T$13:$T$17,MATCH(B30,'Parties groupes_V'!$R$13:$R$17,0))</f>
        <v>0</v>
      </c>
      <c r="E30" s="183">
        <f>INDEX('Parties groupes_V'!$AC$13:$AC$17,MATCH(B30,'Parties groupes_V'!$AA$13:$AA$17,0))</f>
        <v>0</v>
      </c>
      <c r="F30" s="369">
        <f t="shared" si="0"/>
        <v>0</v>
      </c>
      <c r="G30" s="183" t="str">
        <f>IF(ISNA(MATCH(B30,'Parties groupes_V'!$AI$13:$AI$17,0)),"",INDEX('Parties groupes_V'!$AL$13:$AL$17,MATCH(B30,'Parties groupes_V'!$AI$13:$AI$17,0)))</f>
        <v/>
      </c>
      <c r="H30" s="183" t="str">
        <f>IF(ISNA(MATCH(B30,'Parties groupes_V'!$AI$13:$AI$17,0)),"",INDEX('Parties groupes_V'!$AM$13:$AM$17,MATCH(B30,'Parties groupes_V'!$AI$13:$AI$17,0)))</f>
        <v/>
      </c>
      <c r="I30" s="183" t="str">
        <f>IF(ISNA(MATCH(B30,'Parties groupes_V'!$AI$13:$AI$17,0)),"",INDEX('Parties groupes_V'!$AN$13:$AN$17,MATCH(B30,'Parties groupes_V'!$AI$13:$AI$17,0)))</f>
        <v/>
      </c>
      <c r="J30" s="183" t="str">
        <f>IF(ISNA(MATCH(B30,'Parties groupes_V'!$AI$13:$AI$17,0)),"",INDEX('Parties groupes_V'!$AO$13:$AO$17,MATCH(B30,'Parties groupes_V'!$AI$13:$AI$17,0)))</f>
        <v/>
      </c>
      <c r="K30" s="370" t="str">
        <f>IF(ISNA(MATCH(B30,'Parties groupes_V'!$AU$13:$AU$17,0)),"",INDEX('Parties groupes_V'!$AT$13:$AT$17,MATCH(B30,'Parties groupes_V'!$AU$13:$AU$17,0)))</f>
        <v/>
      </c>
      <c r="L30" s="370">
        <f t="shared" si="1"/>
        <v>0</v>
      </c>
      <c r="M30" s="72" t="str">
        <f>IF((K30=""),"",IF(OR(K30=1,K30=4,K30=5),"",IF(('Phases Finales'!$D$14=""),"",VLOOKUP(B30,'Phases Finales'!$T$7:$Z$14,4,0))))</f>
        <v/>
      </c>
      <c r="N30" s="72" t="str">
        <f>IF((K30=""),"",IF(OR(K30=2,K30=3,K30=4,K30=5),"",IF(('Phases Finales'!$I$14=""),"",VLOOKUP(B30,'Phases Finales'!$X$8:$AA$13,4,0))))</f>
        <v/>
      </c>
      <c r="O30" s="370" t="str">
        <f>IF(OR(N30="",N30=0),"",VLOOKUP(B30,'Phases Finales'!$AB$10:$AE$11,4,0))</f>
        <v/>
      </c>
      <c r="P30" s="371">
        <f t="shared" si="2"/>
        <v>0</v>
      </c>
    </row>
    <row r="31" spans="1:16" ht="18">
      <c r="A31" s="375">
        <v>27</v>
      </c>
      <c r="B31" s="376" t="str">
        <f>+'Parties groupes_V'!I17</f>
        <v>PLANTIER Pierre</v>
      </c>
      <c r="C31" s="183">
        <f>INDEX('Parties groupes_V'!$K$13:$K$17,MATCH(B31,'Parties groupes_V'!$I$13:$I$17,0))</f>
        <v>0</v>
      </c>
      <c r="D31" s="183">
        <f>INDEX('Parties groupes_V'!$T$13:$T$17,MATCH(B31,'Parties groupes_V'!$R$13:$R$17,0))</f>
        <v>0</v>
      </c>
      <c r="E31" s="183">
        <f>INDEX('Parties groupes_V'!$AC$13:$AC$17,MATCH(B31,'Parties groupes_V'!$AA$13:$AA$17,0))</f>
        <v>0</v>
      </c>
      <c r="F31" s="369">
        <f t="shared" si="0"/>
        <v>0</v>
      </c>
      <c r="G31" s="183" t="str">
        <f>IF(ISNA(MATCH(B31,'Parties groupes_V'!$AI$13:$AI$17,0)),"",INDEX('Parties groupes_V'!$AL$13:$AL$17,MATCH(B31,'Parties groupes_V'!$AI$13:$AI$17,0)))</f>
        <v/>
      </c>
      <c r="H31" s="183" t="str">
        <f>IF(ISNA(MATCH(B31,'Parties groupes_V'!$AI$13:$AI$17,0)),"",INDEX('Parties groupes_V'!$AM$13:$AM$17,MATCH(B31,'Parties groupes_V'!$AI$13:$AI$17,0)))</f>
        <v/>
      </c>
      <c r="I31" s="183" t="str">
        <f>IF(ISNA(MATCH(B31,'Parties groupes_V'!$AI$13:$AI$17,0)),"",INDEX('Parties groupes_V'!$AN$13:$AN$17,MATCH(B31,'Parties groupes_V'!$AI$13:$AI$17,0)))</f>
        <v/>
      </c>
      <c r="J31" s="183" t="str">
        <f>IF(ISNA(MATCH(B31,'Parties groupes_V'!$AI$13:$AI$17,0)),"",INDEX('Parties groupes_V'!$AO$13:$AO$17,MATCH(B31,'Parties groupes_V'!$AI$13:$AI$17,0)))</f>
        <v/>
      </c>
      <c r="K31" s="370" t="str">
        <f>IF(ISNA(MATCH(B31,'Parties groupes_V'!$AU$13:$AU$17,0)),"",INDEX('Parties groupes_V'!$AT$13:$AT$17,MATCH(B31,'Parties groupes_V'!$AU$13:$AU$17,0)))</f>
        <v/>
      </c>
      <c r="L31" s="370">
        <f t="shared" si="1"/>
        <v>0</v>
      </c>
      <c r="M31" s="72" t="str">
        <f>IF((K31=""),"",IF(OR(K31=1,K31=4,K31=5),"",IF(('Phases Finales'!$D$14=""),"",VLOOKUP(B31,'Phases Finales'!$T$7:$Z$14,4,0))))</f>
        <v/>
      </c>
      <c r="N31" s="72" t="str">
        <f>IF((K31=""),"",IF(OR(K31=2,K31=3,K31=4,K31=5),"",IF(('Phases Finales'!$I$14=""),"",VLOOKUP(B31,'Phases Finales'!$X$8:$AA$13,4,0))))</f>
        <v/>
      </c>
      <c r="O31" s="370" t="str">
        <f>IF(OR(N31="",N31=0),"",VLOOKUP(B31,'Phases Finales'!$AB$10:$AE$11,4,0))</f>
        <v/>
      </c>
      <c r="P31" s="371">
        <f t="shared" si="2"/>
        <v>0</v>
      </c>
    </row>
    <row r="32" spans="1:16" ht="18">
      <c r="A32" s="375">
        <v>28</v>
      </c>
      <c r="B32" s="376" t="str">
        <f>+'Parties groupes_V'!I19</f>
        <v>SIEGEL Mathias</v>
      </c>
      <c r="C32" s="183">
        <f>INDEX('Parties groupes_V'!$K$19:$K$23,MATCH(B32,'Parties groupes_V'!$I$19:$I$23,0))</f>
        <v>0</v>
      </c>
      <c r="D32" s="183">
        <f>INDEX('Parties groupes_V'!$T$19:$T$23,MATCH(B32,'Parties groupes_V'!$R$19:$R$23,0))</f>
        <v>0</v>
      </c>
      <c r="E32" s="183">
        <f>INDEX('Parties groupes_V'!$AC$19:$AC$23,MATCH(B32,'Parties groupes_V'!$AA$19:$AA$23,0))</f>
        <v>0</v>
      </c>
      <c r="F32" s="369">
        <f t="shared" si="0"/>
        <v>0</v>
      </c>
      <c r="G32" s="183" t="str">
        <f>IF(ISNA(MATCH(B32,'Parties groupes_V'!$AI$19:$AI$23,0)),"",INDEX('Parties groupes_V'!$AL$19:$AL$23,MATCH(B32,'Parties groupes_V'!$AI$19:$AI$23,0)))</f>
        <v/>
      </c>
      <c r="H32" s="183" t="str">
        <f>IF(ISNA(MATCH(B32,'Parties groupes_V'!$AI$19:$AI$23,0)),"",INDEX('Parties groupes_V'!$AM$19:$AM$23,MATCH(B32,'Parties groupes_V'!$AI$19:$AI$23,0)))</f>
        <v/>
      </c>
      <c r="I32" s="183" t="str">
        <f>IF(ISNA(MATCH(B32,'Parties groupes_V'!$AI$19:$AI$23,0)),"",INDEX('Parties groupes_V'!$AN$19:$AN$23,MATCH(B32,'Parties groupes_V'!$AI$19:$AI$23,0)))</f>
        <v/>
      </c>
      <c r="J32" s="183" t="str">
        <f>IF(ISNA(MATCH(B32,'Parties groupes_V'!$AI$19:$AI$23,0)),"",INDEX('Parties groupes_V'!$AO$19:$AO$23,MATCH(B32,'Parties groupes_V'!$AI$19:$AI$23,0)))</f>
        <v/>
      </c>
      <c r="K32" s="370" t="str">
        <f>IF(ISNA(MATCH(B32,'Parties groupes_V'!$AU$19:$AU$23,0)),"",INDEX('Parties groupes_V'!$AT$19:$AT$23,MATCH(B32,'Parties groupes_V'!$AU$19:$AU$23,0)))</f>
        <v/>
      </c>
      <c r="L32" s="370">
        <f t="shared" si="1"/>
        <v>0</v>
      </c>
      <c r="M32" s="72" t="str">
        <f>IF((K32=""),"",IF(OR(K32=1,K32=4,K32=5),"",IF(('Phases Finales'!$D$14=""),"",VLOOKUP(B32,'Phases Finales'!$T$7:$Z$14,4,0))))</f>
        <v/>
      </c>
      <c r="N32" s="72" t="str">
        <f>IF((K32=""),"",IF(OR(K32=2,K32=3,K32=4,K32=5),"",IF(('Phases Finales'!$I$14=""),"",VLOOKUP(B32,'Phases Finales'!$X$8:$AA$13,4,0))))</f>
        <v/>
      </c>
      <c r="O32" s="370" t="str">
        <f>IF(OR(N32="",N32=0),"",VLOOKUP(B32,'Phases Finales'!$AB$10:$AE$11,4,0))</f>
        <v/>
      </c>
      <c r="P32" s="371">
        <f t="shared" si="2"/>
        <v>0</v>
      </c>
    </row>
    <row r="33" spans="1:16" ht="18">
      <c r="A33" s="375">
        <v>29</v>
      </c>
      <c r="B33" s="376" t="str">
        <f>+'Parties groupes_V'!I22</f>
        <v>POULAIN Paul</v>
      </c>
      <c r="C33" s="183">
        <f>INDEX('Parties groupes_V'!$K$19:$K$23,MATCH(B33,'Parties groupes_V'!$I$19:$I$23,0))</f>
        <v>0</v>
      </c>
      <c r="D33" s="183">
        <f>INDEX('Parties groupes_V'!$T$19:$T$23,MATCH(B33,'Parties groupes_V'!$R$19:$R$23,0))</f>
        <v>0</v>
      </c>
      <c r="E33" s="183">
        <f>INDEX('Parties groupes_V'!$AC$19:$AC$23,MATCH(B33,'Parties groupes_V'!$AA$19:$AA$23,0))</f>
        <v>0</v>
      </c>
      <c r="F33" s="369">
        <f t="shared" si="0"/>
        <v>0</v>
      </c>
      <c r="G33" s="183" t="str">
        <f>IF(ISNA(MATCH(B33,'Parties groupes_V'!$AI$19:$AI$23,0)),"",INDEX('Parties groupes_V'!$AL$19:$AL$23,MATCH(B33,'Parties groupes_V'!$AI$19:$AI$23,0)))</f>
        <v/>
      </c>
      <c r="H33" s="183" t="str">
        <f>IF(ISNA(MATCH(B33,'Parties groupes_V'!$AI$19:$AI$23,0)),"",INDEX('Parties groupes_V'!$AM$19:$AM$23,MATCH(B33,'Parties groupes_V'!$AI$19:$AI$23,0)))</f>
        <v/>
      </c>
      <c r="I33" s="183" t="str">
        <f>IF(ISNA(MATCH(B33,'Parties groupes_V'!$AI$19:$AI$23,0)),"",INDEX('Parties groupes_V'!$AN$19:$AN$23,MATCH(B33,'Parties groupes_V'!$AI$19:$AI$23,0)))</f>
        <v/>
      </c>
      <c r="J33" s="183" t="str">
        <f>IF(ISNA(MATCH(B33,'Parties groupes_V'!$AI$19:$AI$23,0)),"",INDEX('Parties groupes_V'!$AO$19:$AO$23,MATCH(B33,'Parties groupes_V'!$AI$19:$AI$23,0)))</f>
        <v/>
      </c>
      <c r="K33" s="370" t="str">
        <f>IF(ISNA(MATCH(B33,'Parties groupes_V'!$AU$19:$AU$23,0)),"",INDEX('Parties groupes_V'!$AT$19:$AT$23,MATCH(B33,'Parties groupes_V'!$AU$19:$AU$23,0)))</f>
        <v/>
      </c>
      <c r="L33" s="370">
        <f t="shared" si="1"/>
        <v>0</v>
      </c>
      <c r="M33" s="72" t="str">
        <f>IF((K33=""),"",IF(OR(K33=1,K33=4,K33=5),"",IF(('Phases Finales'!$D$14=""),"",VLOOKUP(B33,'Phases Finales'!$T$7:$Z$14,4,0))))</f>
        <v/>
      </c>
      <c r="N33" s="72" t="str">
        <f>IF((K33=""),"",IF(OR(K33=2,K33=3,K33=4,K33=5),"",IF(('Phases Finales'!$I$14=""),"",VLOOKUP(B33,'Phases Finales'!$X$8:$AA$13,4,0))))</f>
        <v/>
      </c>
      <c r="O33" s="370" t="str">
        <f>IF(OR(N33="",N33=0),"",VLOOKUP(B33,'Phases Finales'!$AB$10:$AE$11,4,0))</f>
        <v/>
      </c>
      <c r="P33" s="371">
        <f t="shared" si="2"/>
        <v>0</v>
      </c>
    </row>
    <row r="34" spans="1:16" ht="18">
      <c r="A34" s="375">
        <v>30</v>
      </c>
      <c r="B34" s="376" t="str">
        <f>+'Parties groupes_V'!I26</f>
        <v>BROUSSARD David</v>
      </c>
      <c r="C34" s="183">
        <f>INDEX('Parties groupes_V'!$K$25:$K$29,MATCH(B34,'Parties groupes_V'!$I$25:$I$29,0))</f>
        <v>0</v>
      </c>
      <c r="D34" s="183">
        <f>INDEX('Parties groupes_V'!$T$25:$T$29,MATCH(B34,'Parties groupes_V'!$R$25:$R$29,0))</f>
        <v>0</v>
      </c>
      <c r="E34" s="183">
        <f>INDEX('Parties groupes_V'!$AC$25:$AC$29,MATCH(B34,'Parties groupes_V'!$AA$25:$AA$29,0))</f>
        <v>0</v>
      </c>
      <c r="F34" s="369">
        <f t="shared" si="0"/>
        <v>0</v>
      </c>
      <c r="G34" s="183" t="str">
        <f>IF(ISNA(MATCH(B34,'Parties groupes_V'!$AI$25:$AI$29,0)),"",INDEX('Parties groupes_V'!$AL$25:$AL$29,MATCH(B34,'Parties groupes_V'!$AI$25:$AI$29,0)))</f>
        <v/>
      </c>
      <c r="H34" s="183" t="str">
        <f>IF(ISNA(MATCH(B34,'Parties groupes_V'!$AI$25:$AI$29,0)),"",INDEX('Parties groupes_V'!$AM$25:$AM$29,MATCH(B34,'Parties groupes_V'!$AI$25:$AI$29,0)))</f>
        <v/>
      </c>
      <c r="I34" s="183" t="str">
        <f>IF(ISNA(MATCH(B34,'Parties groupes_V'!$AI$25:$AI$29,0)),"",INDEX('Parties groupes_V'!$AN$25:$AN$29,MATCH(B34,'Parties groupes_V'!$AI$25:$AI$29,0)))</f>
        <v/>
      </c>
      <c r="J34" s="183" t="str">
        <f>IF(ISNA(MATCH(B34,'Parties groupes_V'!$AI$25:$AI$29,0)),"",INDEX('Parties groupes_V'!$AO$25:$AO$29,MATCH(B34,'Parties groupes_V'!$AI$25:$AI$29,0)))</f>
        <v/>
      </c>
      <c r="K34" s="370" t="str">
        <f>IF(ISNA(MATCH(B34,'Parties groupes_V'!$AU$25:$AU$29,0)),"",INDEX('Parties groupes_V'!$AT$25:$AT$29,MATCH(B34,'Parties groupes_V'!$AU$25:$AU$29,0)))</f>
        <v/>
      </c>
      <c r="L34" s="370">
        <f t="shared" si="1"/>
        <v>0</v>
      </c>
      <c r="M34" s="72" t="str">
        <f>IF((K34=""),"",IF(OR(K34=1,K34=4,K34=5),"",IF(('Phases Finales'!$D$14=""),"",VLOOKUP(B34,'Phases Finales'!$T$7:$Z$14,4,0))))</f>
        <v/>
      </c>
      <c r="N34" s="72" t="str">
        <f>IF((K34=""),"",IF(OR(K34=2,K34=3,K34=4,K34=5),"",IF(('Phases Finales'!$I$14=""),"",VLOOKUP(B34,'Phases Finales'!$X$8:$AA$13,4,0))))</f>
        <v/>
      </c>
      <c r="O34" s="370" t="str">
        <f>IF(OR(N34="",N34=0),"",VLOOKUP(B34,'Phases Finales'!$AB$10:$AE$11,4,0))</f>
        <v/>
      </c>
      <c r="P34" s="371">
        <f t="shared" si="2"/>
        <v>0</v>
      </c>
    </row>
    <row r="35" spans="1:16" ht="18">
      <c r="A35" s="375">
        <v>31</v>
      </c>
      <c r="B35" s="376" t="s">
        <v>148</v>
      </c>
      <c r="C35" s="183">
        <v>0</v>
      </c>
      <c r="D35" s="183">
        <v>0</v>
      </c>
      <c r="E35" s="183">
        <v>2</v>
      </c>
      <c r="F35" s="369">
        <v>2</v>
      </c>
      <c r="G35" s="183">
        <v>24</v>
      </c>
      <c r="H35" s="183">
        <v>33</v>
      </c>
      <c r="I35" s="183">
        <v>0</v>
      </c>
      <c r="J35" s="183">
        <v>0</v>
      </c>
      <c r="K35" s="370">
        <v>5</v>
      </c>
      <c r="L35" s="370">
        <v>0</v>
      </c>
      <c r="M35" s="72"/>
      <c r="N35" s="72"/>
      <c r="O35" s="370"/>
      <c r="P35" s="371">
        <v>2</v>
      </c>
    </row>
    <row r="36" spans="1:16" ht="18">
      <c r="A36" s="375">
        <v>32</v>
      </c>
      <c r="B36" s="376" t="s">
        <v>150</v>
      </c>
      <c r="C36" s="183">
        <v>0</v>
      </c>
      <c r="D36" s="183">
        <v>2</v>
      </c>
      <c r="E36" s="183">
        <v>0</v>
      </c>
      <c r="F36" s="369">
        <v>2</v>
      </c>
      <c r="G36" s="183">
        <v>21</v>
      </c>
      <c r="H36" s="183">
        <v>27</v>
      </c>
      <c r="I36" s="183">
        <v>0</v>
      </c>
      <c r="J36" s="183">
        <v>0</v>
      </c>
      <c r="K36" s="370">
        <v>4</v>
      </c>
      <c r="L36" s="370">
        <v>0</v>
      </c>
      <c r="M36" s="72"/>
      <c r="N36" s="72"/>
      <c r="O36" s="370"/>
      <c r="P36" s="371">
        <v>2</v>
      </c>
    </row>
    <row r="37" spans="1:16" ht="18">
      <c r="A37" s="375">
        <v>33</v>
      </c>
      <c r="B37" s="376" t="s">
        <v>154</v>
      </c>
      <c r="C37" s="183">
        <v>0</v>
      </c>
      <c r="D37" s="183">
        <v>0</v>
      </c>
      <c r="E37" s="183">
        <v>2</v>
      </c>
      <c r="F37" s="369">
        <v>2</v>
      </c>
      <c r="G37" s="183">
        <v>21</v>
      </c>
      <c r="H37" s="183">
        <v>25</v>
      </c>
      <c r="I37" s="183">
        <v>0</v>
      </c>
      <c r="J37" s="183">
        <v>0</v>
      </c>
      <c r="K37" s="370">
        <v>4</v>
      </c>
      <c r="L37" s="370">
        <v>0</v>
      </c>
      <c r="M37" s="72"/>
      <c r="N37" s="72"/>
      <c r="O37" s="370"/>
      <c r="P37" s="371">
        <v>2</v>
      </c>
    </row>
    <row r="38" spans="1:16" ht="18">
      <c r="A38" s="375">
        <v>34</v>
      </c>
      <c r="B38" s="376" t="s">
        <v>156</v>
      </c>
      <c r="C38" s="183">
        <v>0</v>
      </c>
      <c r="D38" s="183">
        <v>2</v>
      </c>
      <c r="E38" s="183">
        <v>0</v>
      </c>
      <c r="F38" s="369">
        <v>2</v>
      </c>
      <c r="G38" s="183">
        <v>17</v>
      </c>
      <c r="H38" s="183">
        <v>32</v>
      </c>
      <c r="I38" s="183">
        <v>0</v>
      </c>
      <c r="J38" s="183">
        <v>0</v>
      </c>
      <c r="K38" s="370">
        <v>5</v>
      </c>
      <c r="L38" s="370">
        <v>0</v>
      </c>
      <c r="M38" s="72"/>
      <c r="N38" s="72"/>
      <c r="O38" s="370"/>
      <c r="P38" s="371">
        <v>2</v>
      </c>
    </row>
    <row r="39" spans="1:16" ht="18">
      <c r="A39" s="375">
        <v>35</v>
      </c>
      <c r="B39" s="376" t="s">
        <v>159</v>
      </c>
      <c r="C39" s="183">
        <v>0</v>
      </c>
      <c r="D39" s="183">
        <v>0</v>
      </c>
      <c r="E39" s="183">
        <v>2</v>
      </c>
      <c r="F39" s="369">
        <v>2</v>
      </c>
      <c r="G39" s="183">
        <v>23</v>
      </c>
      <c r="H39" s="183">
        <v>24</v>
      </c>
      <c r="I39" s="183">
        <v>0</v>
      </c>
      <c r="J39" s="183">
        <v>0</v>
      </c>
      <c r="K39" s="370">
        <v>4</v>
      </c>
      <c r="L39" s="370">
        <v>0</v>
      </c>
      <c r="M39" s="72"/>
      <c r="N39" s="72"/>
      <c r="O39" s="370"/>
      <c r="P39" s="371">
        <v>2</v>
      </c>
    </row>
    <row r="40" spans="1:16" ht="18">
      <c r="A40" s="375">
        <v>36</v>
      </c>
      <c r="B40" s="376" t="s">
        <v>167</v>
      </c>
      <c r="C40" s="183">
        <v>2</v>
      </c>
      <c r="D40" s="183">
        <v>0</v>
      </c>
      <c r="E40" s="183">
        <v>0</v>
      </c>
      <c r="F40" s="369">
        <v>2</v>
      </c>
      <c r="G40" s="183">
        <v>16</v>
      </c>
      <c r="H40" s="183">
        <v>33</v>
      </c>
      <c r="I40" s="183">
        <v>0</v>
      </c>
      <c r="J40" s="183">
        <v>0</v>
      </c>
      <c r="K40" s="370">
        <v>4</v>
      </c>
      <c r="L40" s="370">
        <v>0</v>
      </c>
      <c r="M40" s="72"/>
      <c r="N40" s="72"/>
      <c r="O40" s="370"/>
      <c r="P40" s="371">
        <v>2</v>
      </c>
    </row>
    <row r="41" spans="1:16" ht="18">
      <c r="A41" s="375">
        <v>37</v>
      </c>
      <c r="B41" s="376" t="str">
        <f>+'Parties groupes_V'!I10</f>
        <v>JULIAT Eric</v>
      </c>
      <c r="C41" s="183">
        <f>INDEX('Parties groupes_V'!$K$7:$K$11,MATCH(B41,'Parties groupes_V'!$I$7:$I$11,0))</f>
        <v>0</v>
      </c>
      <c r="D41" s="183">
        <f>INDEX('Parties groupes_V'!$T$7:$T$11,MATCH(B41,'Parties groupes_V'!$R$7:$R$11,0))</f>
        <v>0</v>
      </c>
      <c r="E41" s="183">
        <f>INDEX('Parties groupes_V'!$AC$7:$AC$11,MATCH(B41,'Parties groupes_V'!$AA$7:$AA$11,0))</f>
        <v>0</v>
      </c>
      <c r="F41" s="369">
        <f>IF((C41=""),"",SUM(C41:E41))</f>
        <v>0</v>
      </c>
      <c r="G41" s="183" t="str">
        <f>IF(ISNA(MATCH(B41,'Parties groupes_V'!$AI$7:$AI$11,0)),"",INDEX('Parties groupes_V'!$AL$7:$AL$11,MATCH(B41,'Parties groupes_V'!$AI$7:$AI$11,0)))</f>
        <v/>
      </c>
      <c r="H41" s="183" t="str">
        <f>IF(ISNA(MATCH(B41,'Parties groupes_V'!$AI$7:$AI$11,0)),"",INDEX('Parties groupes_V'!$AM$7:$AM$11,MATCH(B41,'Parties groupes_V'!$AI$7:$AI$11,0)))</f>
        <v/>
      </c>
      <c r="I41" s="183" t="str">
        <f>IF(ISNA(MATCH(B41,'Parties groupes_V'!$AI$7:$AI$11,0)),"",INDEX('Parties groupes_V'!$AN$7:$AN$11,MATCH(B41,'Parties groupes_V'!$AI$7:$AI$11,0)))</f>
        <v/>
      </c>
      <c r="J41" s="183" t="str">
        <f>IF(ISNA(MATCH(B41,'Parties groupes_V'!$AI$7:$AI$11,0)),"",INDEX('Parties groupes_V'!$AO$7:$AO$11,MATCH(B41,'Parties groupes_V'!$AI$7:$AI$11,0)))</f>
        <v/>
      </c>
      <c r="K41" s="370" t="str">
        <f>IF(ISNA(MATCH(B41,'Parties groupes_V'!$AU$7:$AU$11,0)),"",INDEX('Parties groupes_V'!$AT$7:$AT$11,MATCH(B41,'Parties groupes_V'!$AU$7:$AU$11,0)))</f>
        <v/>
      </c>
      <c r="L41" s="370">
        <f>IF((D41=""),"",IF((K41=1),6,IF((K41=2),4,IF((K41=3),2,0))))</f>
        <v>0</v>
      </c>
      <c r="M41" s="72" t="str">
        <f>IF((K41=""),"",IF(OR(K41=1,K41=4,K41=5),"",IF(('Phases Finales'!$D$14=""),"",VLOOKUP(B41,'Phases Finales'!$T$7:$Z$14,4,0))))</f>
        <v/>
      </c>
      <c r="N41" s="72" t="str">
        <f>IF((K41=""),"",IF(OR(K41=2,K41=3,K41=4,K41=5),"",IF(('Phases Finales'!$I$14=""),"",VLOOKUP(B41,'Phases Finales'!$X$8:$AA$13,4,0))))</f>
        <v/>
      </c>
      <c r="O41" s="370" t="str">
        <f>IF(OR(N41="",N41=0),"",VLOOKUP(B41,'Phases Finales'!$AB$10:$AE$11,4,0))</f>
        <v/>
      </c>
      <c r="P41" s="371">
        <f>IF((E41=""),"",SUM(F41,L41,M41,N41,O41))</f>
        <v>0</v>
      </c>
    </row>
    <row r="42" spans="1:16" ht="18">
      <c r="A42" s="375">
        <v>38</v>
      </c>
      <c r="B42" s="376" t="str">
        <f>+'Parties groupes_V'!I28</f>
        <v>BARD Philippe</v>
      </c>
      <c r="C42" s="183">
        <f>INDEX('Parties groupes_V'!$K$25:$K$29,MATCH(B42,'Parties groupes_V'!$I$25:$I$29,0))</f>
        <v>0</v>
      </c>
      <c r="D42" s="183">
        <f>INDEX('Parties groupes_V'!$T$25:$T$29,MATCH(B42,'Parties groupes_V'!$R$25:$R$29,0))</f>
        <v>0</v>
      </c>
      <c r="E42" s="183">
        <f>INDEX('Parties groupes_V'!$AC$25:$AC$29,MATCH(B42,'Parties groupes_V'!$AA$25:$AA$29,0))</f>
        <v>0</v>
      </c>
      <c r="F42" s="369">
        <f>IF((C42=""),"",SUM(C42:E42))</f>
        <v>0</v>
      </c>
      <c r="G42" s="183" t="str">
        <f>IF(ISNA(MATCH(B42,'Parties groupes_V'!$AI$25:$AI$29,0)),"",INDEX('Parties groupes_V'!$AL$25:$AL$29,MATCH(B42,'Parties groupes_V'!$AI$25:$AI$29,0)))</f>
        <v/>
      </c>
      <c r="H42" s="183" t="str">
        <f>IF(ISNA(MATCH(B42,'Parties groupes_V'!$AI$25:$AI$29,0)),"",INDEX('Parties groupes_V'!$AM$25:$AM$29,MATCH(B42,'Parties groupes_V'!$AI$25:$AI$29,0)))</f>
        <v/>
      </c>
      <c r="I42" s="183" t="str">
        <f>IF(ISNA(MATCH(B42,'Parties groupes_V'!$AI$25:$AI$29,0)),"",INDEX('Parties groupes_V'!$AN$25:$AN$29,MATCH(B42,'Parties groupes_V'!$AI$25:$AI$29,0)))</f>
        <v/>
      </c>
      <c r="J42" s="183" t="str">
        <f>IF(ISNA(MATCH(B42,'Parties groupes_V'!$AI$25:$AI$29,0)),"",INDEX('Parties groupes_V'!$AO$25:$AO$29,MATCH(B42,'Parties groupes_V'!$AI$25:$AI$29,0)))</f>
        <v/>
      </c>
      <c r="K42" s="370" t="str">
        <f>IF(ISNA(MATCH(B42,'Parties groupes_V'!$AU$25:$AU$29,0)),"",INDEX('Parties groupes_V'!$AT$25:$AT$29,MATCH(B42,'Parties groupes_V'!$AU$25:$AU$29,0)))</f>
        <v/>
      </c>
      <c r="L42" s="370">
        <f>IF((D42=""),"",IF((K42=1),6,IF((K42=2),4,IF((K42=3),2,0))))</f>
        <v>0</v>
      </c>
      <c r="M42" s="72" t="str">
        <f>IF((K42=""),"",IF(OR(K42=1,K42=4,K42=5),"",IF(('Phases Finales'!$D$14=""),"",VLOOKUP(B42,'Phases Finales'!$T$7:$Z$14,4,0))))</f>
        <v/>
      </c>
      <c r="N42" s="72" t="str">
        <f>IF((K42=""),"",IF(OR(K42=2,K42=3,K42=4,K42=5),"",IF(('Phases Finales'!$I$14=""),"",VLOOKUP(B42,'Phases Finales'!$X$8:$AA$13,4,0))))</f>
        <v/>
      </c>
      <c r="O42" s="370" t="str">
        <f>IF(OR(N42="",N42=0),"",VLOOKUP(B42,'Phases Finales'!$AB$10:$AE$11,4,0))</f>
        <v/>
      </c>
      <c r="P42" s="371">
        <f>IF((E42=""),"",SUM(F42,L42,M42,N42,O42))</f>
        <v>0</v>
      </c>
    </row>
    <row r="43" spans="1:16" ht="18">
      <c r="A43" s="375">
        <v>39</v>
      </c>
      <c r="B43" s="376" t="s">
        <v>161</v>
      </c>
      <c r="C43" s="183">
        <v>0</v>
      </c>
      <c r="D43" s="183">
        <v>0</v>
      </c>
      <c r="E43" s="183">
        <v>0</v>
      </c>
      <c r="F43" s="369">
        <v>0</v>
      </c>
      <c r="G43" s="183">
        <v>20</v>
      </c>
      <c r="H43" s="183">
        <v>37</v>
      </c>
      <c r="I43" s="183">
        <v>0</v>
      </c>
      <c r="J43" s="183">
        <v>0</v>
      </c>
      <c r="K43" s="370">
        <v>5</v>
      </c>
      <c r="L43" s="370">
        <v>0</v>
      </c>
      <c r="M43" s="72"/>
      <c r="N43" s="72"/>
      <c r="O43" s="370"/>
      <c r="P43" s="371">
        <v>0</v>
      </c>
    </row>
    <row r="44" spans="1:16" ht="18">
      <c r="A44" s="375">
        <v>40</v>
      </c>
      <c r="B44" s="376" t="s">
        <v>166</v>
      </c>
      <c r="C44" s="183">
        <v>0</v>
      </c>
      <c r="D44" s="183">
        <v>0</v>
      </c>
      <c r="E44" s="183">
        <v>0</v>
      </c>
      <c r="F44" s="369">
        <v>0</v>
      </c>
      <c r="G44" s="183">
        <v>11</v>
      </c>
      <c r="H44" s="183">
        <v>39</v>
      </c>
      <c r="I44" s="183">
        <v>0</v>
      </c>
      <c r="J44" s="183">
        <v>0</v>
      </c>
      <c r="K44" s="370">
        <v>5</v>
      </c>
      <c r="L44" s="370">
        <v>0</v>
      </c>
      <c r="M44" s="72"/>
      <c r="N44" s="72"/>
      <c r="O44" s="370"/>
      <c r="P44" s="371">
        <v>0</v>
      </c>
    </row>
  </sheetData>
  <sortState ref="B5:P44">
    <sortCondition descending="1" ref="P5:P44"/>
  </sortState>
  <mergeCells count="8">
    <mergeCell ref="N1:P1"/>
    <mergeCell ref="N2:P2"/>
    <mergeCell ref="C3:L3"/>
    <mergeCell ref="M3:P3"/>
    <mergeCell ref="A1:J1"/>
    <mergeCell ref="K1:M1"/>
    <mergeCell ref="A2:J2"/>
    <mergeCell ref="K2:M2"/>
  </mergeCells>
  <conditionalFormatting sqref="K5:K24">
    <cfRule type="cellIs" dxfId="20" priority="17" stopIfTrue="1" operator="equal">
      <formula>"EGALITE PARFAITE ENTRE 3 EQUIPES"</formula>
    </cfRule>
    <cfRule type="cellIs" dxfId="19" priority="18" stopIfTrue="1" operator="equal">
      <formula>3</formula>
    </cfRule>
    <cfRule type="cellIs" dxfId="18" priority="19" stopIfTrue="1" operator="equal">
      <formula>2</formula>
    </cfRule>
    <cfRule type="cellIs" dxfId="17" priority="20" stopIfTrue="1" operator="equal">
      <formula>4</formula>
    </cfRule>
    <cfRule type="cellIs" dxfId="16" priority="21" stopIfTrue="1" operator="equal">
      <formula>1</formula>
    </cfRule>
  </conditionalFormatting>
  <conditionalFormatting sqref="P20:P24">
    <cfRule type="top10" dxfId="15" priority="16" stopIfTrue="1" rank="1"/>
  </conditionalFormatting>
  <conditionalFormatting sqref="F5:F9">
    <cfRule type="duplicateValues" dxfId="14" priority="15" stopIfTrue="1"/>
  </conditionalFormatting>
  <conditionalFormatting sqref="F10:F14">
    <cfRule type="duplicateValues" dxfId="13" priority="14" stopIfTrue="1"/>
  </conditionalFormatting>
  <conditionalFormatting sqref="F15:F19">
    <cfRule type="duplicateValues" dxfId="12" priority="13" stopIfTrue="1"/>
  </conditionalFormatting>
  <conditionalFormatting sqref="F20:F24">
    <cfRule type="duplicateValues" dxfId="11" priority="12" stopIfTrue="1"/>
  </conditionalFormatting>
  <conditionalFormatting sqref="F10:F14">
    <cfRule type="duplicateValues" dxfId="10" priority="11" stopIfTrue="1"/>
  </conditionalFormatting>
  <conditionalFormatting sqref="P15:P19">
    <cfRule type="top10" dxfId="9" priority="10" rank="1"/>
  </conditionalFormatting>
  <conditionalFormatting sqref="P10:P14">
    <cfRule type="top10" dxfId="8" priority="9" rank="1"/>
  </conditionalFormatting>
  <conditionalFormatting sqref="P5:P9">
    <cfRule type="top10" dxfId="7" priority="8" rank="1"/>
  </conditionalFormatting>
  <conditionalFormatting sqref="K25:K44">
    <cfRule type="cellIs" dxfId="6" priority="3" stopIfTrue="1" operator="equal">
      <formula>"EGALITE PARFAITE ENTRE 3 EQUIPES"</formula>
    </cfRule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4</formula>
    </cfRule>
    <cfRule type="cellIs" dxfId="2" priority="7" stopIfTrue="1" operator="equal">
      <formula>1</formula>
    </cfRule>
  </conditionalFormatting>
  <conditionalFormatting sqref="P25:P44">
    <cfRule type="top10" dxfId="1" priority="2" stopIfTrue="1" rank="1"/>
  </conditionalFormatting>
  <conditionalFormatting sqref="F25:F44">
    <cfRule type="duplicateValues" dxfId="0" priority="1" stopIfTrue="1"/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44"/>
  <sheetViews>
    <sheetView topLeftCell="A16" workbookViewId="0">
      <selection activeCell="L37" sqref="L37"/>
    </sheetView>
  </sheetViews>
  <sheetFormatPr baseColWidth="10" defaultRowHeight="12.75"/>
  <cols>
    <col min="1" max="1" width="8.28515625" style="13" customWidth="1"/>
    <col min="2" max="2" width="35" style="13" customWidth="1"/>
    <col min="3" max="3" width="30.140625" style="13" customWidth="1"/>
    <col min="4" max="4" width="17.5703125" style="13" customWidth="1"/>
    <col min="5" max="5" width="11.42578125" style="13"/>
    <col min="6" max="6" width="10.7109375" style="430" hidden="1" customWidth="1"/>
    <col min="7" max="7" width="13.5703125" style="13" hidden="1" customWidth="1"/>
    <col min="8" max="8" width="9.42578125" style="13" hidden="1" customWidth="1"/>
    <col min="9" max="9" width="14.5703125" style="13" hidden="1" customWidth="1"/>
    <col min="10" max="16384" width="11.42578125" style="13"/>
  </cols>
  <sheetData>
    <row r="1" spans="1:9" ht="37.5">
      <c r="A1" s="294" t="s">
        <v>67</v>
      </c>
      <c r="B1" s="294" t="s">
        <v>68</v>
      </c>
      <c r="C1" s="294" t="s">
        <v>4</v>
      </c>
      <c r="D1" s="331" t="s">
        <v>69</v>
      </c>
      <c r="F1" s="430" t="s">
        <v>84</v>
      </c>
      <c r="G1" s="430" t="s">
        <v>85</v>
      </c>
      <c r="H1" s="430" t="s">
        <v>73</v>
      </c>
      <c r="I1" s="431" t="s">
        <v>20</v>
      </c>
    </row>
    <row r="2" spans="1:9" ht="18.75">
      <c r="A2" s="83">
        <v>1</v>
      </c>
      <c r="B2" s="83" t="str">
        <f>+'Parties groupes_V'!B7</f>
        <v>ARNAUD Gérard</v>
      </c>
      <c r="C2" s="83" t="str">
        <f>'Parties groupes_V'!C7</f>
        <v>Désaignes</v>
      </c>
      <c r="D2" s="188">
        <f>SUM(F2:I2)</f>
        <v>0</v>
      </c>
      <c r="F2" s="432">
        <f>SUM(IFERROR(VLOOKUP(B2,'Parties groupes_V'!$I$7:$O$60,7,0),0),IFERROR(VLOOKUP(B2,'Parties groupes_V'!$R$7:$X$60,7,0),0),IFERROR(VLOOKUP(B2,'Parties groupes_V'!$AA$7:$AG$60,7,0),0))</f>
        <v>0</v>
      </c>
      <c r="G2" s="433" t="str">
        <f>IF(ISNA(VLOOKUP(B2,'Phases Finales'!$T$7:$V$40,3,0)),"",VLOOKUP(B2,'Phases Finales'!$T$7:$V$40,3,0))</f>
        <v/>
      </c>
      <c r="H2" s="430" t="str">
        <f>IF(ISNA(VLOOKUP(B2,'Phases Finales'!$X$8:$Z$40,3,0)),"",VLOOKUP(B2,'Phases Finales'!$X$8:$Z$40,3,0))</f>
        <v/>
      </c>
      <c r="I2" s="430" t="str">
        <f>IF(ISNA(VLOOKUP(B2,'Phases Finales'!$AB$10:$AD$40,3,0)),"",VLOOKUP(B2,'Phases Finales'!$AB$10:$AD$40,3,0))</f>
        <v/>
      </c>
    </row>
    <row r="3" spans="1:9" ht="18.75">
      <c r="A3" s="83">
        <v>2</v>
      </c>
      <c r="B3" s="83" t="str">
        <f>+'Parties groupes_V'!B8</f>
        <v>BESSON Alain</v>
      </c>
      <c r="C3" s="83" t="str">
        <f>'Parties groupes_V'!C8</f>
        <v>Cornas</v>
      </c>
      <c r="D3" s="188">
        <f t="shared" ref="D3:D41" si="0">SUM(F3:I3)</f>
        <v>0</v>
      </c>
      <c r="F3" s="432">
        <f>SUM(IFERROR(VLOOKUP(B3,'Parties groupes_V'!$I$7:$O$60,7,0),0),IFERROR(VLOOKUP(B3,'Parties groupes_V'!$R$7:$X$60,7,0),0),IFERROR(VLOOKUP(B3,'Parties groupes_V'!$AA$7:$AG$60,7,0),0))</f>
        <v>0</v>
      </c>
      <c r="G3" s="433" t="str">
        <f>IF(ISNA(VLOOKUP(B3,'Phases Finales'!$T$7:$V$40,3,0)),"",VLOOKUP(B3,'Phases Finales'!$T$7:$V$40,3,0))</f>
        <v/>
      </c>
      <c r="H3" s="430" t="str">
        <f>IF(ISNA(VLOOKUP(B3,'Phases Finales'!$X$8:$Z$40,3,0)),"",VLOOKUP(B3,'Phases Finales'!$X$8:$Z$40,3,0))</f>
        <v/>
      </c>
      <c r="I3" s="430" t="str">
        <f>IF(ISNA(VLOOKUP(B3,'Phases Finales'!$AB$10:$AD$40,3,0)),"",VLOOKUP(B3,'Phases Finales'!$AB$10:$AD$40,3,0))</f>
        <v/>
      </c>
    </row>
    <row r="4" spans="1:9" ht="18.75">
      <c r="A4" s="83">
        <v>3</v>
      </c>
      <c r="B4" s="83" t="str">
        <f>+'Parties groupes_V'!B9</f>
        <v>BIMET Michel</v>
      </c>
      <c r="C4" s="83" t="str">
        <f>'Parties groupes_V'!C9</f>
        <v>Saint-Cyr</v>
      </c>
      <c r="D4" s="188">
        <f t="shared" si="0"/>
        <v>0</v>
      </c>
      <c r="F4" s="432">
        <f>SUM(IFERROR(VLOOKUP(B4,'Parties groupes_V'!$I$7:$O$60,7,0),0),IFERROR(VLOOKUP(B4,'Parties groupes_V'!$R$7:$X$60,7,0),0),IFERROR(VLOOKUP(B4,'Parties groupes_V'!$AA$7:$AG$60,7,0),0))</f>
        <v>0</v>
      </c>
      <c r="G4" s="433" t="str">
        <f>IF(ISNA(VLOOKUP(B4,'Phases Finales'!$T$7:$V$40,3,0)),"",VLOOKUP(B4,'Phases Finales'!$T$7:$V$40,3,0))</f>
        <v/>
      </c>
      <c r="H4" s="430" t="str">
        <f>IF(ISNA(VLOOKUP(B4,'Phases Finales'!$X$8:$Z$40,3,0)),"",VLOOKUP(B4,'Phases Finales'!$X$8:$Z$40,3,0))</f>
        <v/>
      </c>
      <c r="I4" s="430" t="str">
        <f>IF(ISNA(VLOOKUP(B4,'Phases Finales'!$AB$10:$AD$40,3,0)),"",VLOOKUP(B4,'Phases Finales'!$AB$10:$AD$40,3,0))</f>
        <v/>
      </c>
    </row>
    <row r="5" spans="1:9" ht="18.75">
      <c r="A5" s="83">
        <v>4</v>
      </c>
      <c r="B5" s="83" t="str">
        <f>+'Parties groupes_V'!B10</f>
        <v>CESA CLAUDE</v>
      </c>
      <c r="C5" s="83" t="str">
        <f>'Parties groupes_V'!C10</f>
        <v>Satillieu</v>
      </c>
      <c r="D5" s="188">
        <f t="shared" si="0"/>
        <v>0</v>
      </c>
      <c r="F5" s="432">
        <f>SUM(IFERROR(VLOOKUP(B5,'Parties groupes_V'!$I$7:$O$60,7,0),0),IFERROR(VLOOKUP(B5,'Parties groupes_V'!$R$7:$X$60,7,0),0),IFERROR(VLOOKUP(B5,'Parties groupes_V'!$AA$7:$AG$60,7,0),0))</f>
        <v>0</v>
      </c>
      <c r="G5" s="433" t="str">
        <f>IF(ISNA(VLOOKUP(B5,'Phases Finales'!$T$7:$V$40,3,0)),"",VLOOKUP(B5,'Phases Finales'!$T$7:$V$40,3,0))</f>
        <v/>
      </c>
      <c r="H5" s="430" t="str">
        <f>IF(ISNA(VLOOKUP(B5,'Phases Finales'!$X$8:$Z$40,3,0)),"",VLOOKUP(B5,'Phases Finales'!$X$8:$Z$40,3,0))</f>
        <v/>
      </c>
      <c r="I5" s="430" t="str">
        <f>IF(ISNA(VLOOKUP(B5,'Phases Finales'!$AB$10:$AD$40,3,0)),"",VLOOKUP(B5,'Phases Finales'!$AB$10:$AD$40,3,0))</f>
        <v/>
      </c>
    </row>
    <row r="6" spans="1:9" ht="18.75">
      <c r="A6" s="83">
        <v>5</v>
      </c>
      <c r="B6" s="83" t="str">
        <f>+'Parties groupes_V'!B11</f>
        <v>CHAMBONNET Jean-Pierre</v>
      </c>
      <c r="C6" s="83" t="str">
        <f>'Parties groupes_V'!C11</f>
        <v>Alba</v>
      </c>
      <c r="D6" s="188">
        <f t="shared" si="0"/>
        <v>0</v>
      </c>
      <c r="F6" s="432">
        <f>SUM(IFERROR(VLOOKUP(B6,'Parties groupes_V'!$I$7:$O$60,7,0),0),IFERROR(VLOOKUP(B6,'Parties groupes_V'!$R$7:$X$60,7,0),0),IFERROR(VLOOKUP(B6,'Parties groupes_V'!$AA$7:$AG$60,7,0),0))</f>
        <v>0</v>
      </c>
      <c r="G6" s="433" t="str">
        <f>IF(ISNA(VLOOKUP(B6,'Phases Finales'!$T$7:$V$40,3,0)),"",VLOOKUP(B6,'Phases Finales'!$T$7:$V$40,3,0))</f>
        <v/>
      </c>
      <c r="H6" s="430" t="str">
        <f>IF(ISNA(VLOOKUP(B6,'Phases Finales'!$X$8:$Z$40,3,0)),"",VLOOKUP(B6,'Phases Finales'!$X$8:$Z$40,3,0))</f>
        <v/>
      </c>
      <c r="I6" s="430" t="str">
        <f>IF(ISNA(VLOOKUP(B6,'Phases Finales'!$AB$10:$AD$40,3,0)),"",VLOOKUP(B6,'Phases Finales'!$AB$10:$AD$40,3,0))</f>
        <v/>
      </c>
    </row>
    <row r="7" spans="1:9" ht="18.75">
      <c r="A7" s="83">
        <v>6</v>
      </c>
      <c r="B7" s="83" t="str">
        <f>+'Parties groupes_V'!B12</f>
        <v>CHARBONNIER Daniel</v>
      </c>
      <c r="C7" s="83" t="str">
        <f>'Parties groupes_V'!C12</f>
        <v>St Cirgues en montagne</v>
      </c>
      <c r="D7" s="188">
        <f t="shared" si="0"/>
        <v>0</v>
      </c>
      <c r="F7" s="432">
        <f>SUM(IFERROR(VLOOKUP(B7,'Parties groupes_V'!$I$7:$O$60,7,0),0),IFERROR(VLOOKUP(B7,'Parties groupes_V'!$R$7:$X$60,7,0),0),IFERROR(VLOOKUP(B7,'Parties groupes_V'!$AA$7:$AG$60,7,0),0))</f>
        <v>0</v>
      </c>
      <c r="G7" s="433" t="str">
        <f>IF(ISNA(VLOOKUP(B7,'Phases Finales'!$T$7:$V$40,3,0)),"",VLOOKUP(B7,'Phases Finales'!$T$7:$V$40,3,0))</f>
        <v/>
      </c>
      <c r="H7" s="430" t="str">
        <f>IF(ISNA(VLOOKUP(B7,'Phases Finales'!$X$8:$Z$40,3,0)),"",VLOOKUP(B7,'Phases Finales'!$X$8:$Z$40,3,0))</f>
        <v/>
      </c>
      <c r="I7" s="430" t="str">
        <f>IF(ISNA(VLOOKUP(B7,'Phases Finales'!$AB$10:$AD$40,3,0)),"",VLOOKUP(B7,'Phases Finales'!$AB$10:$AD$40,3,0))</f>
        <v/>
      </c>
    </row>
    <row r="8" spans="1:9" ht="18.75">
      <c r="A8" s="83">
        <v>7</v>
      </c>
      <c r="B8" s="83" t="str">
        <f>+'Parties groupes_V'!B13</f>
        <v>CHIROL antoine</v>
      </c>
      <c r="C8" s="83" t="str">
        <f>'Parties groupes_V'!C13</f>
        <v>Quintenas</v>
      </c>
      <c r="D8" s="188">
        <f t="shared" si="0"/>
        <v>0</v>
      </c>
      <c r="F8" s="432">
        <f>SUM(IFERROR(VLOOKUP(B8,'Parties groupes_V'!$I$7:$O$60,7,0),0),IFERROR(VLOOKUP(B8,'Parties groupes_V'!$R$7:$X$60,7,0),0),IFERROR(VLOOKUP(B8,'Parties groupes_V'!$AA$7:$AG$60,7,0),0))</f>
        <v>0</v>
      </c>
      <c r="G8" s="433" t="str">
        <f>IF(ISNA(VLOOKUP(B8,'Phases Finales'!$T$7:$V$40,3,0)),"",VLOOKUP(B8,'Phases Finales'!$T$7:$V$40,3,0))</f>
        <v/>
      </c>
      <c r="H8" s="430" t="str">
        <f>IF(ISNA(VLOOKUP(B8,'Phases Finales'!$X$8:$Z$40,3,0)),"",VLOOKUP(B8,'Phases Finales'!$X$8:$Z$40,3,0))</f>
        <v/>
      </c>
      <c r="I8" s="430" t="str">
        <f>IF(ISNA(VLOOKUP(B8,'Phases Finales'!$AB$10:$AD$40,3,0)),"",VLOOKUP(B8,'Phases Finales'!$AB$10:$AD$40,3,0))</f>
        <v/>
      </c>
    </row>
    <row r="9" spans="1:9" ht="18.75">
      <c r="A9" s="83">
        <v>8</v>
      </c>
      <c r="B9" s="83" t="str">
        <f>+'Parties groupes_V'!B14</f>
        <v>COMBET Philippe</v>
      </c>
      <c r="C9" s="83" t="str">
        <f>'Parties groupes_V'!C14</f>
        <v>Alboussière</v>
      </c>
      <c r="D9" s="188">
        <f t="shared" si="0"/>
        <v>0</v>
      </c>
      <c r="F9" s="432">
        <f>SUM(IFERROR(VLOOKUP(B9,'Parties groupes_V'!$I$7:$O$60,7,0),0),IFERROR(VLOOKUP(B9,'Parties groupes_V'!$R$7:$X$60,7,0),0),IFERROR(VLOOKUP(B9,'Parties groupes_V'!$AA$7:$AG$60,7,0),0))</f>
        <v>0</v>
      </c>
      <c r="G9" s="433" t="str">
        <f>IF(ISNA(VLOOKUP(B9,'Phases Finales'!$T$7:$V$40,3,0)),"",VLOOKUP(B9,'Phases Finales'!$T$7:$V$40,3,0))</f>
        <v/>
      </c>
      <c r="H9" s="430" t="str">
        <f>IF(ISNA(VLOOKUP(B9,'Phases Finales'!$X$8:$Z$40,3,0)),"",VLOOKUP(B9,'Phases Finales'!$X$8:$Z$40,3,0))</f>
        <v/>
      </c>
      <c r="I9" s="430" t="str">
        <f>IF(ISNA(VLOOKUP(B9,'Phases Finales'!$AB$10:$AD$40,3,0)),"",VLOOKUP(B9,'Phases Finales'!$AB$10:$AD$40,3,0))</f>
        <v/>
      </c>
    </row>
    <row r="10" spans="1:9" ht="18.75">
      <c r="A10" s="83">
        <v>9</v>
      </c>
      <c r="B10" s="83" t="str">
        <f>+'Parties groupes_V'!B15</f>
        <v>COMBETTE DAVID</v>
      </c>
      <c r="C10" s="83" t="str">
        <f>'Parties groupes_V'!C15</f>
        <v>Préaux</v>
      </c>
      <c r="D10" s="188">
        <f t="shared" si="0"/>
        <v>0</v>
      </c>
      <c r="F10" s="432">
        <f>SUM(IFERROR(VLOOKUP(B10,'Parties groupes_V'!$I$7:$O$60,7,0),0),IFERROR(VLOOKUP(B10,'Parties groupes_V'!$R$7:$X$60,7,0),0),IFERROR(VLOOKUP(B10,'Parties groupes_V'!$AA$7:$AG$60,7,0),0))</f>
        <v>0</v>
      </c>
      <c r="G10" s="433" t="str">
        <f>IF(ISNA(VLOOKUP(B10,'Phases Finales'!$T$7:$V$40,3,0)),"",VLOOKUP(B10,'Phases Finales'!$T$7:$V$40,3,0))</f>
        <v/>
      </c>
      <c r="H10" s="430" t="str">
        <f>IF(ISNA(VLOOKUP(B10,'Phases Finales'!$X$8:$Z$40,3,0)),"",VLOOKUP(B10,'Phases Finales'!$X$8:$Z$40,3,0))</f>
        <v/>
      </c>
      <c r="I10" s="430" t="str">
        <f>IF(ISNA(VLOOKUP(B10,'Phases Finales'!$AB$10:$AD$40,3,0)),"",VLOOKUP(B10,'Phases Finales'!$AB$10:$AD$40,3,0))</f>
        <v/>
      </c>
    </row>
    <row r="11" spans="1:9" ht="18.75">
      <c r="A11" s="83">
        <v>10</v>
      </c>
      <c r="B11" s="83" t="str">
        <f>+'Parties groupes_V'!B16</f>
        <v>COMTE Denis</v>
      </c>
      <c r="C11" s="83" t="str">
        <f>'Parties groupes_V'!C16</f>
        <v>Colombier le Vieux</v>
      </c>
      <c r="D11" s="188">
        <f t="shared" si="0"/>
        <v>0</v>
      </c>
      <c r="F11" s="432">
        <f>SUM(IFERROR(VLOOKUP(B11,'Parties groupes_V'!$I$7:$O$60,7,0),0),IFERROR(VLOOKUP(B11,'Parties groupes_V'!$R$7:$X$60,7,0),0),IFERROR(VLOOKUP(B11,'Parties groupes_V'!$AA$7:$AG$60,7,0),0))</f>
        <v>0</v>
      </c>
      <c r="G11" s="433" t="str">
        <f>IF(ISNA(VLOOKUP(B11,'Phases Finales'!$T$7:$V$40,3,0)),"",VLOOKUP(B11,'Phases Finales'!$T$7:$V$40,3,0))</f>
        <v/>
      </c>
      <c r="H11" s="430" t="str">
        <f>IF(ISNA(VLOOKUP(B11,'Phases Finales'!$X$8:$Z$40,3,0)),"",VLOOKUP(B11,'Phases Finales'!$X$8:$Z$40,3,0))</f>
        <v/>
      </c>
      <c r="I11" s="430" t="str">
        <f>IF(ISNA(VLOOKUP(B11,'Phases Finales'!$AB$10:$AD$40,3,0)),"",VLOOKUP(B11,'Phases Finales'!$AB$10:$AD$40,3,0))</f>
        <v/>
      </c>
    </row>
    <row r="12" spans="1:9" ht="18.75">
      <c r="A12" s="83">
        <v>11</v>
      </c>
      <c r="B12" s="83" t="str">
        <f>+'Parties groupes_V'!B17</f>
        <v>DEBEAUX fabrice</v>
      </c>
      <c r="C12" s="83" t="str">
        <f>'Parties groupes_V'!C17</f>
        <v>Colombier le Vieux</v>
      </c>
      <c r="D12" s="188">
        <f t="shared" si="0"/>
        <v>0</v>
      </c>
      <c r="F12" s="432">
        <f>SUM(IFERROR(VLOOKUP(B12,'Parties groupes_V'!$I$7:$O$60,7,0),0),IFERROR(VLOOKUP(B12,'Parties groupes_V'!$R$7:$X$60,7,0),0),IFERROR(VLOOKUP(B12,'Parties groupes_V'!$AA$7:$AG$60,7,0),0))</f>
        <v>0</v>
      </c>
      <c r="G12" s="433" t="str">
        <f>IF(ISNA(VLOOKUP(B12,'Phases Finales'!$T$7:$V$40,3,0)),"",VLOOKUP(B12,'Phases Finales'!$T$7:$V$40,3,0))</f>
        <v/>
      </c>
      <c r="H12" s="430" t="str">
        <f>IF(ISNA(VLOOKUP(B12,'Phases Finales'!$X$8:$Z$40,3,0)),"",VLOOKUP(B12,'Phases Finales'!$X$8:$Z$40,3,0))</f>
        <v/>
      </c>
      <c r="I12" s="430" t="str">
        <f>IF(ISNA(VLOOKUP(B12,'Phases Finales'!$AB$10:$AD$40,3,0)),"",VLOOKUP(B12,'Phases Finales'!$AB$10:$AD$40,3,0))</f>
        <v/>
      </c>
    </row>
    <row r="13" spans="1:9" ht="18.75">
      <c r="A13" s="83">
        <v>12</v>
      </c>
      <c r="B13" s="83" t="str">
        <f>+'Parties groupes_V'!B18</f>
        <v xml:space="preserve">DELHOUME Christian </v>
      </c>
      <c r="C13" s="83" t="str">
        <f>'Parties groupes_V'!C18</f>
        <v>Valvignères</v>
      </c>
      <c r="D13" s="188">
        <f t="shared" si="0"/>
        <v>0</v>
      </c>
      <c r="F13" s="432">
        <f>SUM(IFERROR(VLOOKUP(B13,'Parties groupes_V'!$I$7:$O$60,7,0),0),IFERROR(VLOOKUP(B13,'Parties groupes_V'!$R$7:$X$60,7,0),0),IFERROR(VLOOKUP(B13,'Parties groupes_V'!$AA$7:$AG$60,7,0),0))</f>
        <v>0</v>
      </c>
      <c r="G13" s="433" t="str">
        <f>IF(ISNA(VLOOKUP(B13,'Phases Finales'!$T$7:$V$40,3,0)),"",VLOOKUP(B13,'Phases Finales'!$T$7:$V$40,3,0))</f>
        <v/>
      </c>
      <c r="H13" s="430" t="str">
        <f>IF(ISNA(VLOOKUP(B13,'Phases Finales'!$X$8:$Z$40,3,0)),"",VLOOKUP(B13,'Phases Finales'!$X$8:$Z$40,3,0))</f>
        <v/>
      </c>
      <c r="I13" s="430" t="str">
        <f>IF(ISNA(VLOOKUP(B13,'Phases Finales'!$AB$10:$AD$40,3,0)),"",VLOOKUP(B13,'Phases Finales'!$AB$10:$AD$40,3,0))</f>
        <v/>
      </c>
    </row>
    <row r="14" spans="1:9" ht="18.75">
      <c r="A14" s="83">
        <v>13</v>
      </c>
      <c r="B14" s="83" t="str">
        <f>+'Parties groupes_V'!B19</f>
        <v>FAURITE Michel</v>
      </c>
      <c r="C14" s="83" t="str">
        <f>'Parties groupes_V'!C19</f>
        <v>Ardoix</v>
      </c>
      <c r="D14" s="188">
        <f t="shared" si="0"/>
        <v>0</v>
      </c>
      <c r="F14" s="432">
        <f>SUM(IFERROR(VLOOKUP(B14,'Parties groupes_V'!$I$7:$O$60,7,0),0),IFERROR(VLOOKUP(B14,'Parties groupes_V'!$R$7:$X$60,7,0),0),IFERROR(VLOOKUP(B14,'Parties groupes_V'!$AA$7:$AG$60,7,0),0))</f>
        <v>0</v>
      </c>
      <c r="G14" s="433" t="str">
        <f>IF(ISNA(VLOOKUP(B14,'Phases Finales'!$T$7:$V$40,3,0)),"",VLOOKUP(B14,'Phases Finales'!$T$7:$V$40,3,0))</f>
        <v/>
      </c>
      <c r="H14" s="430" t="str">
        <f>IF(ISNA(VLOOKUP(B14,'Phases Finales'!$X$8:$Z$40,3,0)),"",VLOOKUP(B14,'Phases Finales'!$X$8:$Z$40,3,0))</f>
        <v/>
      </c>
      <c r="I14" s="430" t="str">
        <f>IF(ISNA(VLOOKUP(B14,'Phases Finales'!$AB$10:$AD$40,3,0)),"",VLOOKUP(B14,'Phases Finales'!$AB$10:$AD$40,3,0))</f>
        <v/>
      </c>
    </row>
    <row r="15" spans="1:9" ht="18.75">
      <c r="A15" s="83">
        <v>14</v>
      </c>
      <c r="B15" s="83" t="str">
        <f>+'Parties groupes_V'!B20</f>
        <v>GAILLARD Jean Louis</v>
      </c>
      <c r="C15" s="83" t="str">
        <f>'Parties groupes_V'!C20</f>
        <v>Tournon</v>
      </c>
      <c r="D15" s="188">
        <f t="shared" si="0"/>
        <v>0</v>
      </c>
      <c r="F15" s="432">
        <f>SUM(IFERROR(VLOOKUP(B15,'Parties groupes_V'!$I$7:$O$60,7,0),0),IFERROR(VLOOKUP(B15,'Parties groupes_V'!$R$7:$X$60,7,0),0),IFERROR(VLOOKUP(B15,'Parties groupes_V'!$AA$7:$AG$60,7,0),0))</f>
        <v>0</v>
      </c>
      <c r="G15" s="433" t="str">
        <f>IF(ISNA(VLOOKUP(B15,'Phases Finales'!$T$7:$V$40,3,0)),"",VLOOKUP(B15,'Phases Finales'!$T$7:$V$40,3,0))</f>
        <v/>
      </c>
      <c r="H15" s="430" t="str">
        <f>IF(ISNA(VLOOKUP(B15,'Phases Finales'!$X$8:$Z$40,3,0)),"",VLOOKUP(B15,'Phases Finales'!$X$8:$Z$40,3,0))</f>
        <v/>
      </c>
      <c r="I15" s="430" t="str">
        <f>IF(ISNA(VLOOKUP(B15,'Phases Finales'!$AB$10:$AD$40,3,0)),"",VLOOKUP(B15,'Phases Finales'!$AB$10:$AD$40,3,0))</f>
        <v/>
      </c>
    </row>
    <row r="16" spans="1:9" ht="18.75">
      <c r="A16" s="83">
        <v>15</v>
      </c>
      <c r="B16" s="83" t="str">
        <f>+'Parties groupes_V'!B21</f>
        <v>GINESTE Thierry</v>
      </c>
      <c r="C16" s="83" t="str">
        <f>'Parties groupes_V'!C21</f>
        <v>Aubenas</v>
      </c>
      <c r="D16" s="188">
        <f t="shared" si="0"/>
        <v>0</v>
      </c>
      <c r="F16" s="432">
        <f>SUM(IFERROR(VLOOKUP(B16,'Parties groupes_V'!$I$7:$O$60,7,0),0),IFERROR(VLOOKUP(B16,'Parties groupes_V'!$R$7:$X$60,7,0),0),IFERROR(VLOOKUP(B16,'Parties groupes_V'!$AA$7:$AG$60,7,0),0))</f>
        <v>0</v>
      </c>
      <c r="G16" s="433" t="str">
        <f>IF(ISNA(VLOOKUP(B16,'Phases Finales'!$T$7:$V$40,3,0)),"",VLOOKUP(B16,'Phases Finales'!$T$7:$V$40,3,0))</f>
        <v/>
      </c>
      <c r="H16" s="430" t="str">
        <f>IF(ISNA(VLOOKUP(B16,'Phases Finales'!$X$8:$Z$40,3,0)),"",VLOOKUP(B16,'Phases Finales'!$X$8:$Z$40,3,0))</f>
        <v/>
      </c>
      <c r="I16" s="430" t="str">
        <f>IF(ISNA(VLOOKUP(B16,'Phases Finales'!$AB$10:$AD$40,3,0)),"",VLOOKUP(B16,'Phases Finales'!$AB$10:$AD$40,3,0))</f>
        <v/>
      </c>
    </row>
    <row r="17" spans="1:9" ht="18.75">
      <c r="A17" s="83">
        <v>16</v>
      </c>
      <c r="B17" s="83" t="str">
        <f>+'Parties groupes_V'!B22</f>
        <v>ISIDORE Serge</v>
      </c>
      <c r="C17" s="83" t="str">
        <f>'Parties groupes_V'!C22</f>
        <v>charmes sur rhône</v>
      </c>
      <c r="D17" s="188">
        <f t="shared" si="0"/>
        <v>0</v>
      </c>
      <c r="F17" s="432">
        <f>SUM(IFERROR(VLOOKUP(B17,'Parties groupes_V'!$I$7:$O$60,7,0),0),IFERROR(VLOOKUP(B17,'Parties groupes_V'!$R$7:$X$60,7,0),0),IFERROR(VLOOKUP(B17,'Parties groupes_V'!$AA$7:$AG$60,7,0),0))</f>
        <v>0</v>
      </c>
      <c r="G17" s="433" t="str">
        <f>IF(ISNA(VLOOKUP(B17,'Phases Finales'!$T$7:$V$40,3,0)),"",VLOOKUP(B17,'Phases Finales'!$T$7:$V$40,3,0))</f>
        <v/>
      </c>
      <c r="H17" s="430" t="str">
        <f>IF(ISNA(VLOOKUP(B17,'Phases Finales'!$X$8:$Z$40,3,0)),"",VLOOKUP(B17,'Phases Finales'!$X$8:$Z$40,3,0))</f>
        <v/>
      </c>
      <c r="I17" s="430" t="str">
        <f>IF(ISNA(VLOOKUP(B17,'Phases Finales'!$AB$10:$AD$40,3,0)),"",VLOOKUP(B17,'Phases Finales'!$AB$10:$AD$40,3,0))</f>
        <v/>
      </c>
    </row>
    <row r="18" spans="1:9" ht="18.75">
      <c r="A18" s="83">
        <v>17</v>
      </c>
      <c r="B18" s="83" t="str">
        <f>+'Parties groupes_V'!B23</f>
        <v>LAFORET Guy</v>
      </c>
      <c r="C18" s="83" t="str">
        <f>'Parties groupes_V'!C23</f>
        <v>asbgg</v>
      </c>
      <c r="D18" s="188">
        <f t="shared" si="0"/>
        <v>0</v>
      </c>
      <c r="F18" s="432">
        <f>SUM(IFERROR(VLOOKUP(B18,'Parties groupes_V'!$I$7:$O$60,7,0),0),IFERROR(VLOOKUP(B18,'Parties groupes_V'!$R$7:$X$60,7,0),0),IFERROR(VLOOKUP(B18,'Parties groupes_V'!$AA$7:$AG$60,7,0),0))</f>
        <v>0</v>
      </c>
      <c r="G18" s="433" t="str">
        <f>IF(ISNA(VLOOKUP(B18,'Phases Finales'!$T$7:$V$40,3,0)),"",VLOOKUP(B18,'Phases Finales'!$T$7:$V$40,3,0))</f>
        <v/>
      </c>
      <c r="H18" s="430" t="str">
        <f>IF(ISNA(VLOOKUP(B18,'Phases Finales'!$X$8:$Z$40,3,0)),"",VLOOKUP(B18,'Phases Finales'!$X$8:$Z$40,3,0))</f>
        <v/>
      </c>
      <c r="I18" s="430" t="str">
        <f>IF(ISNA(VLOOKUP(B18,'Phases Finales'!$AB$10:$AD$40,3,0)),"",VLOOKUP(B18,'Phases Finales'!$AB$10:$AD$40,3,0))</f>
        <v/>
      </c>
    </row>
    <row r="19" spans="1:9" ht="18.75">
      <c r="A19" s="83">
        <v>18</v>
      </c>
      <c r="B19" s="83" t="str">
        <f>+'Parties groupes_V'!B24</f>
        <v>MANDON Thierry</v>
      </c>
      <c r="C19" s="83" t="str">
        <f>'Parties groupes_V'!C24</f>
        <v>St agrève</v>
      </c>
      <c r="D19" s="188">
        <f t="shared" si="0"/>
        <v>0</v>
      </c>
      <c r="F19" s="432">
        <f>SUM(IFERROR(VLOOKUP(B19,'Parties groupes_V'!$I$7:$O$60,7,0),0),IFERROR(VLOOKUP(B19,'Parties groupes_V'!$R$7:$X$60,7,0),0),IFERROR(VLOOKUP(B19,'Parties groupes_V'!$AA$7:$AG$60,7,0),0))</f>
        <v>0</v>
      </c>
      <c r="G19" s="433" t="str">
        <f>IF(ISNA(VLOOKUP(B19,'Phases Finales'!$T$7:$V$40,3,0)),"",VLOOKUP(B19,'Phases Finales'!$T$7:$V$40,3,0))</f>
        <v/>
      </c>
      <c r="H19" s="430" t="str">
        <f>IF(ISNA(VLOOKUP(B19,'Phases Finales'!$X$8:$Z$40,3,0)),"",VLOOKUP(B19,'Phases Finales'!$X$8:$Z$40,3,0))</f>
        <v/>
      </c>
      <c r="I19" s="430" t="str">
        <f>IF(ISNA(VLOOKUP(B19,'Phases Finales'!$AB$10:$AD$40,3,0)),"",VLOOKUP(B19,'Phases Finales'!$AB$10:$AD$40,3,0))</f>
        <v/>
      </c>
    </row>
    <row r="20" spans="1:9" ht="18.75">
      <c r="A20" s="83">
        <v>19</v>
      </c>
      <c r="B20" s="83" t="str">
        <f>+'Parties groupes_V'!B25</f>
        <v>PERRET Didier</v>
      </c>
      <c r="C20" s="83" t="str">
        <f>'Parties groupes_V'!C25</f>
        <v>Flaviac</v>
      </c>
      <c r="D20" s="188">
        <f t="shared" si="0"/>
        <v>0</v>
      </c>
      <c r="F20" s="432">
        <f>SUM(IFERROR(VLOOKUP(B20,'Parties groupes_V'!$I$7:$O$60,7,0),0),IFERROR(VLOOKUP(B20,'Parties groupes_V'!$R$7:$X$60,7,0),0),IFERROR(VLOOKUP(B20,'Parties groupes_V'!$AA$7:$AG$60,7,0),0))</f>
        <v>0</v>
      </c>
      <c r="G20" s="433" t="str">
        <f>IF(ISNA(VLOOKUP(B20,'Phases Finales'!$T$7:$V$40,3,0)),"",VLOOKUP(B20,'Phases Finales'!$T$7:$V$40,3,0))</f>
        <v/>
      </c>
      <c r="H20" s="430" t="str">
        <f>IF(ISNA(VLOOKUP(B20,'Phases Finales'!$X$8:$Z$40,3,0)),"",VLOOKUP(B20,'Phases Finales'!$X$8:$Z$40,3,0))</f>
        <v/>
      </c>
      <c r="I20" s="430" t="str">
        <f>IF(ISNA(VLOOKUP(B20,'Phases Finales'!$AB$10:$AD$40,3,0)),"",VLOOKUP(B20,'Phases Finales'!$AB$10:$AD$40,3,0))</f>
        <v/>
      </c>
    </row>
    <row r="21" spans="1:9" ht="18.75">
      <c r="A21" s="83">
        <v>20</v>
      </c>
      <c r="B21" s="83" t="str">
        <f>+'Parties groupes_V'!B26</f>
        <v>PLANTIER Pierre</v>
      </c>
      <c r="C21" s="83" t="str">
        <f>'Parties groupes_V'!C26</f>
        <v>Cornas</v>
      </c>
      <c r="D21" s="188">
        <f t="shared" si="0"/>
        <v>0</v>
      </c>
      <c r="F21" s="432">
        <f>SUM(IFERROR(VLOOKUP(B21,'Parties groupes_V'!$I$7:$O$60,7,0),0),IFERROR(VLOOKUP(B21,'Parties groupes_V'!$R$7:$X$60,7,0),0),IFERROR(VLOOKUP(B21,'Parties groupes_V'!$AA$7:$AG$60,7,0),0))</f>
        <v>0</v>
      </c>
      <c r="G21" s="433" t="str">
        <f>IF(ISNA(VLOOKUP(B21,'Phases Finales'!$T$7:$V$40,3,0)),"",VLOOKUP(B21,'Phases Finales'!$T$7:$V$40,3,0))</f>
        <v/>
      </c>
      <c r="H21" s="430" t="str">
        <f>IF(ISNA(VLOOKUP(B21,'Phases Finales'!$X$8:$Z$40,3,0)),"",VLOOKUP(B21,'Phases Finales'!$X$8:$Z$40,3,0))</f>
        <v/>
      </c>
      <c r="I21" s="430" t="str">
        <f>IF(ISNA(VLOOKUP(B21,'Phases Finales'!$AB$10:$AD$40,3,0)),"",VLOOKUP(B21,'Phases Finales'!$AB$10:$AD$40,3,0))</f>
        <v/>
      </c>
    </row>
    <row r="22" spans="1:9" ht="18.75">
      <c r="A22" s="83">
        <v>21</v>
      </c>
      <c r="B22" s="83" t="str">
        <f>+'Parties groupes_V'!B27</f>
        <v>REYNAUD DENIS</v>
      </c>
      <c r="C22" s="83" t="str">
        <f>'Parties groupes_V'!C27</f>
        <v>Vernosc les annonay</v>
      </c>
      <c r="D22" s="188">
        <f t="shared" si="0"/>
        <v>0</v>
      </c>
      <c r="F22" s="432">
        <f>SUM(IFERROR(VLOOKUP(B22,'Parties groupes_V'!$I$7:$O$60,7,0),0),IFERROR(VLOOKUP(B22,'Parties groupes_V'!$R$7:$X$60,7,0),0),IFERROR(VLOOKUP(B22,'Parties groupes_V'!$AA$7:$AG$60,7,0),0))</f>
        <v>0</v>
      </c>
      <c r="G22" s="433" t="str">
        <f>IF(ISNA(VLOOKUP(B22,'Phases Finales'!$T$7:$V$40,3,0)),"",VLOOKUP(B22,'Phases Finales'!$T$7:$V$40,3,0))</f>
        <v/>
      </c>
      <c r="H22" s="430" t="str">
        <f>IF(ISNA(VLOOKUP(B22,'Phases Finales'!$X$8:$Z$40,3,0)),"",VLOOKUP(B22,'Phases Finales'!$X$8:$Z$40,3,0))</f>
        <v/>
      </c>
      <c r="I22" s="430" t="str">
        <f>IF(ISNA(VLOOKUP(B22,'Phases Finales'!$AB$10:$AD$40,3,0)),"",VLOOKUP(B22,'Phases Finales'!$AB$10:$AD$40,3,0))</f>
        <v/>
      </c>
    </row>
    <row r="23" spans="1:9" ht="18.75">
      <c r="A23" s="83">
        <v>22</v>
      </c>
      <c r="B23" s="83" t="str">
        <f>+'Parties groupes_V'!B28</f>
        <v>SIEGEL Mathias</v>
      </c>
      <c r="C23" s="83" t="str">
        <f>'Parties groupes_V'!C28</f>
        <v>Quintenas</v>
      </c>
      <c r="D23" s="188">
        <f t="shared" si="0"/>
        <v>0</v>
      </c>
      <c r="F23" s="432">
        <f>SUM(IFERROR(VLOOKUP(B23,'Parties groupes_V'!$I$7:$O$60,7,0),0),IFERROR(VLOOKUP(B23,'Parties groupes_V'!$R$7:$X$60,7,0),0),IFERROR(VLOOKUP(B23,'Parties groupes_V'!$AA$7:$AG$60,7,0),0))</f>
        <v>0</v>
      </c>
      <c r="G23" s="433" t="str">
        <f>IF(ISNA(VLOOKUP(B23,'Phases Finales'!$T$7:$V$40,3,0)),"",VLOOKUP(B23,'Phases Finales'!$T$7:$V$40,3,0))</f>
        <v/>
      </c>
      <c r="H23" s="430" t="str">
        <f>IF(ISNA(VLOOKUP(B23,'Phases Finales'!$X$8:$Z$40,3,0)),"",VLOOKUP(B23,'Phases Finales'!$X$8:$Z$40,3,0))</f>
        <v/>
      </c>
      <c r="I23" s="430" t="str">
        <f>IF(ISNA(VLOOKUP(B23,'Phases Finales'!$AB$10:$AD$40,3,0)),"",VLOOKUP(B23,'Phases Finales'!$AB$10:$AD$40,3,0))</f>
        <v/>
      </c>
    </row>
    <row r="24" spans="1:9" ht="18.75">
      <c r="A24" s="83">
        <v>23</v>
      </c>
      <c r="B24" s="83" t="str">
        <f>+'Parties groupes_V'!B29</f>
        <v>TEIL Gilbert</v>
      </c>
      <c r="C24" s="83" t="str">
        <f>'Parties groupes_V'!C29</f>
        <v>Satillieu</v>
      </c>
      <c r="D24" s="188">
        <f t="shared" si="0"/>
        <v>0</v>
      </c>
      <c r="F24" s="432">
        <f>SUM(IFERROR(VLOOKUP(B24,'Parties groupes_V'!$I$7:$O$60,7,0),0),IFERROR(VLOOKUP(B24,'Parties groupes_V'!$R$7:$X$60,7,0),0),IFERROR(VLOOKUP(B24,'Parties groupes_V'!$AA$7:$AG$60,7,0),0))</f>
        <v>0</v>
      </c>
      <c r="G24" s="433" t="str">
        <f>IF(ISNA(VLOOKUP(B24,'Phases Finales'!$T$7:$V$40,3,0)),"",VLOOKUP(B24,'Phases Finales'!$T$7:$V$40,3,0))</f>
        <v/>
      </c>
      <c r="H24" s="430" t="str">
        <f>IF(ISNA(VLOOKUP(B24,'Phases Finales'!$X$8:$Z$40,3,0)),"",VLOOKUP(B24,'Phases Finales'!$X$8:$Z$40,3,0))</f>
        <v/>
      </c>
      <c r="I24" s="430" t="str">
        <f>IF(ISNA(VLOOKUP(B24,'Phases Finales'!$AB$10:$AD$40,3,0)),"",VLOOKUP(B24,'Phases Finales'!$AB$10:$AD$40,3,0))</f>
        <v/>
      </c>
    </row>
    <row r="25" spans="1:9" ht="18.75">
      <c r="A25" s="83">
        <v>24</v>
      </c>
      <c r="B25" s="83" t="str">
        <f>+'Parties groupes_V'!B30</f>
        <v>TRIN Serge</v>
      </c>
      <c r="C25" s="83" t="str">
        <f>'Parties groupes_V'!C30</f>
        <v>St Julien du Gua</v>
      </c>
      <c r="D25" s="188">
        <f t="shared" si="0"/>
        <v>0</v>
      </c>
      <c r="F25" s="432">
        <f>SUM(IFERROR(VLOOKUP(B25,'Parties groupes_V'!$I$7:$O$60,7,0),0),IFERROR(VLOOKUP(B25,'Parties groupes_V'!$R$7:$X$60,7,0),0),IFERROR(VLOOKUP(B25,'Parties groupes_V'!$AA$7:$AG$60,7,0),0))</f>
        <v>0</v>
      </c>
      <c r="G25" s="433" t="str">
        <f>IF(ISNA(VLOOKUP(B25,'Phases Finales'!$T$7:$V$40,3,0)),"",VLOOKUP(B25,'Phases Finales'!$T$7:$V$40,3,0))</f>
        <v/>
      </c>
      <c r="H25" s="430" t="str">
        <f>IF(ISNA(VLOOKUP(B25,'Phases Finales'!$X$8:$Z$40,3,0)),"",VLOOKUP(B25,'Phases Finales'!$X$8:$Z$40,3,0))</f>
        <v/>
      </c>
      <c r="I25" s="430" t="str">
        <f>IF(ISNA(VLOOKUP(B25,'Phases Finales'!$AB$10:$AD$40,3,0)),"",VLOOKUP(B25,'Phases Finales'!$AB$10:$AD$40,3,0))</f>
        <v/>
      </c>
    </row>
    <row r="26" spans="1:9" ht="18.75">
      <c r="A26" s="83">
        <v>25</v>
      </c>
      <c r="B26" s="83" t="str">
        <f>+'Parties groupes_V'!B32</f>
        <v>BARD Philippe</v>
      </c>
      <c r="C26" s="83" t="str">
        <f>'Parties groupes_V'!C32</f>
        <v>Vernosc les annonay</v>
      </c>
      <c r="D26" s="188">
        <f t="shared" si="0"/>
        <v>0</v>
      </c>
      <c r="F26" s="432">
        <f>SUM(IFERROR(VLOOKUP(B26,'Parties groupes_V'!$I$7:$O$60,7,0),0),IFERROR(VLOOKUP(B26,'Parties groupes_V'!$R$7:$X$60,7,0),0),IFERROR(VLOOKUP(B26,'Parties groupes_V'!$AA$7:$AG$60,7,0),0))</f>
        <v>0</v>
      </c>
      <c r="G26" s="433" t="str">
        <f>IF(ISNA(VLOOKUP(B26,'Phases Finales'!$T$7:$V$40,3,0)),"",VLOOKUP(B26,'Phases Finales'!$T$7:$V$40,3,0))</f>
        <v/>
      </c>
      <c r="H26" s="430" t="str">
        <f>IF(ISNA(VLOOKUP(B26,'Phases Finales'!$X$8:$Z$40,3,0)),"",VLOOKUP(B26,'Phases Finales'!$X$8:$Z$40,3,0))</f>
        <v/>
      </c>
      <c r="I26" s="430" t="str">
        <f>IF(ISNA(VLOOKUP(B26,'Phases Finales'!$AB$10:$AD$40,3,0)),"",VLOOKUP(B26,'Phases Finales'!$AB$10:$AD$40,3,0))</f>
        <v/>
      </c>
    </row>
    <row r="27" spans="1:9" ht="18.75">
      <c r="A27" s="83">
        <v>26</v>
      </c>
      <c r="B27" s="83" t="str">
        <f>+'Parties groupes_V'!B33</f>
        <v>BERNARD Jérémy</v>
      </c>
      <c r="C27" s="83" t="str">
        <f>'Parties groupes_V'!C33</f>
        <v>Ruoms</v>
      </c>
      <c r="D27" s="188">
        <f t="shared" si="0"/>
        <v>0</v>
      </c>
      <c r="F27" s="432">
        <f>SUM(IFERROR(VLOOKUP(B27,'Parties groupes_V'!$I$7:$O$60,7,0),0),IFERROR(VLOOKUP(B27,'Parties groupes_V'!$R$7:$X$60,7,0),0),IFERROR(VLOOKUP(B27,'Parties groupes_V'!$AA$7:$AG$60,7,0),0))</f>
        <v>0</v>
      </c>
      <c r="G27" s="433" t="str">
        <f>IF(ISNA(VLOOKUP(B27,'Phases Finales'!$T$7:$V$40,3,0)),"",VLOOKUP(B27,'Phases Finales'!$T$7:$V$40,3,0))</f>
        <v/>
      </c>
      <c r="H27" s="430" t="str">
        <f>IF(ISNA(VLOOKUP(B27,'Phases Finales'!$X$8:$Z$40,3,0)),"",VLOOKUP(B27,'Phases Finales'!$X$8:$Z$40,3,0))</f>
        <v/>
      </c>
      <c r="I27" s="430" t="str">
        <f>IF(ISNA(VLOOKUP(B27,'Phases Finales'!$AB$10:$AD$40,3,0)),"",VLOOKUP(B27,'Phases Finales'!$AB$10:$AD$40,3,0))</f>
        <v/>
      </c>
    </row>
    <row r="28" spans="1:9" ht="18.75">
      <c r="A28" s="83">
        <v>27</v>
      </c>
      <c r="B28" s="83" t="str">
        <f>+'Parties groupes_V'!B34</f>
        <v>BOURCIER Didier</v>
      </c>
      <c r="C28" s="83" t="str">
        <f>'Parties groupes_V'!C34</f>
        <v>Alboussière</v>
      </c>
      <c r="D28" s="188">
        <f t="shared" si="0"/>
        <v>0</v>
      </c>
      <c r="F28" s="432">
        <f>SUM(IFERROR(VLOOKUP(B28,'Parties groupes_V'!$I$7:$O$60,7,0),0),IFERROR(VLOOKUP(B28,'Parties groupes_V'!$R$7:$X$60,7,0),0),IFERROR(VLOOKUP(B28,'Parties groupes_V'!$AA$7:$AG$60,7,0),0))</f>
        <v>0</v>
      </c>
      <c r="G28" s="433" t="str">
        <f>IF(ISNA(VLOOKUP(B28,'Phases Finales'!$T$7:$V$40,3,0)),"",VLOOKUP(B28,'Phases Finales'!$T$7:$V$40,3,0))</f>
        <v/>
      </c>
      <c r="H28" s="430" t="str">
        <f>IF(ISNA(VLOOKUP(B28,'Phases Finales'!$X$8:$Z$40,3,0)),"",VLOOKUP(B28,'Phases Finales'!$X$8:$Z$40,3,0))</f>
        <v/>
      </c>
      <c r="I28" s="430" t="str">
        <f>IF(ISNA(VLOOKUP(B28,'Phases Finales'!$AB$10:$AD$40,3,0)),"",VLOOKUP(B28,'Phases Finales'!$AB$10:$AD$40,3,0))</f>
        <v/>
      </c>
    </row>
    <row r="29" spans="1:9" ht="18.75">
      <c r="A29" s="83">
        <v>28</v>
      </c>
      <c r="B29" s="83" t="str">
        <f>+'Parties groupes_V'!B35</f>
        <v>BOUVERON Yves</v>
      </c>
      <c r="C29" s="83" t="str">
        <f>'Parties groupes_V'!C35</f>
        <v>Alboussière</v>
      </c>
      <c r="D29" s="188">
        <f t="shared" si="0"/>
        <v>0</v>
      </c>
      <c r="F29" s="432">
        <f>SUM(IFERROR(VLOOKUP(B29,'Parties groupes_V'!$I$7:$O$60,7,0),0),IFERROR(VLOOKUP(B29,'Parties groupes_V'!$R$7:$X$60,7,0),0),IFERROR(VLOOKUP(B29,'Parties groupes_V'!$AA$7:$AG$60,7,0),0))</f>
        <v>0</v>
      </c>
      <c r="G29" s="433" t="str">
        <f>IF(ISNA(VLOOKUP(B29,'Phases Finales'!$T$7:$V$40,3,0)),"",VLOOKUP(B29,'Phases Finales'!$T$7:$V$40,3,0))</f>
        <v/>
      </c>
      <c r="H29" s="430" t="str">
        <f>IF(ISNA(VLOOKUP(B29,'Phases Finales'!$X$8:$Z$40,3,0)),"",VLOOKUP(B29,'Phases Finales'!$X$8:$Z$40,3,0))</f>
        <v/>
      </c>
      <c r="I29" s="430" t="str">
        <f>IF(ISNA(VLOOKUP(B29,'Phases Finales'!$AB$10:$AD$40,3,0)),"",VLOOKUP(B29,'Phases Finales'!$AB$10:$AD$40,3,0))</f>
        <v/>
      </c>
    </row>
    <row r="30" spans="1:9" ht="18.75">
      <c r="A30" s="83">
        <v>29</v>
      </c>
      <c r="B30" s="83" t="str">
        <f>+'Parties groupes_V'!B36</f>
        <v>BROUSSARD David</v>
      </c>
      <c r="C30" s="83" t="str">
        <f>'Parties groupes_V'!C36</f>
        <v>Saint-Cyr</v>
      </c>
      <c r="D30" s="188">
        <f t="shared" si="0"/>
        <v>0</v>
      </c>
      <c r="F30" s="432">
        <f>SUM(IFERROR(VLOOKUP(B30,'Parties groupes_V'!$I$7:$O$60,7,0),0),IFERROR(VLOOKUP(B30,'Parties groupes_V'!$R$7:$X$60,7,0),0),IFERROR(VLOOKUP(B30,'Parties groupes_V'!$AA$7:$AG$60,7,0),0))</f>
        <v>0</v>
      </c>
      <c r="G30" s="433" t="str">
        <f>IF(ISNA(VLOOKUP(B30,'Phases Finales'!$T$7:$V$40,3,0)),"",VLOOKUP(B30,'Phases Finales'!$T$7:$V$40,3,0))</f>
        <v/>
      </c>
      <c r="H30" s="430" t="str">
        <f>IF(ISNA(VLOOKUP(B30,'Phases Finales'!$X$8:$Z$40,3,0)),"",VLOOKUP(B30,'Phases Finales'!$X$8:$Z$40,3,0))</f>
        <v/>
      </c>
      <c r="I30" s="430" t="str">
        <f>IF(ISNA(VLOOKUP(B30,'Phases Finales'!$AB$10:$AD$40,3,0)),"",VLOOKUP(B30,'Phases Finales'!$AB$10:$AD$40,3,0))</f>
        <v/>
      </c>
    </row>
    <row r="31" spans="1:9" ht="18.75">
      <c r="A31" s="83">
        <v>30</v>
      </c>
      <c r="B31" s="83" t="str">
        <f>+'Parties groupes_V'!B37</f>
        <v>CHANEAC Alain</v>
      </c>
      <c r="C31" s="83" t="str">
        <f>'Parties groupes_V'!C37</f>
        <v>Lagégude</v>
      </c>
      <c r="D31" s="188">
        <f t="shared" si="0"/>
        <v>0</v>
      </c>
      <c r="F31" s="432">
        <f>SUM(IFERROR(VLOOKUP(B31,'Parties groupes_V'!$I$7:$O$60,7,0),0),IFERROR(VLOOKUP(B31,'Parties groupes_V'!$R$7:$X$60,7,0),0),IFERROR(VLOOKUP(B31,'Parties groupes_V'!$AA$7:$AG$60,7,0),0))</f>
        <v>0</v>
      </c>
      <c r="G31" s="433" t="str">
        <f>IF(ISNA(VLOOKUP(B31,'Phases Finales'!$T$7:$V$40,3,0)),"",VLOOKUP(B31,'Phases Finales'!$T$7:$V$40,3,0))</f>
        <v/>
      </c>
      <c r="H31" s="430" t="str">
        <f>IF(ISNA(VLOOKUP(B31,'Phases Finales'!$X$8:$Z$40,3,0)),"",VLOOKUP(B31,'Phases Finales'!$X$8:$Z$40,3,0))</f>
        <v/>
      </c>
      <c r="I31" s="430" t="str">
        <f>IF(ISNA(VLOOKUP(B31,'Phases Finales'!$AB$10:$AD$40,3,0)),"",VLOOKUP(B31,'Phases Finales'!$AB$10:$AD$40,3,0))</f>
        <v/>
      </c>
    </row>
    <row r="32" spans="1:9" ht="18.75">
      <c r="A32" s="83">
        <v>31</v>
      </c>
      <c r="B32" s="83" t="str">
        <f>+'Parties groupes_V'!B38</f>
        <v>DESMARTIN Sébastien</v>
      </c>
      <c r="C32" s="83" t="str">
        <f>'Parties groupes_V'!C38</f>
        <v>Vanosc</v>
      </c>
      <c r="D32" s="188">
        <f t="shared" si="0"/>
        <v>0</v>
      </c>
      <c r="F32" s="432">
        <f>SUM(IFERROR(VLOOKUP(B32,'Parties groupes_V'!$I$7:$O$60,7,0),0),IFERROR(VLOOKUP(B32,'Parties groupes_V'!$R$7:$X$60,7,0),0),IFERROR(VLOOKUP(B32,'Parties groupes_V'!$AA$7:$AG$60,7,0),0))</f>
        <v>0</v>
      </c>
      <c r="G32" s="433" t="str">
        <f>IF(ISNA(VLOOKUP(B32,'Phases Finales'!$T$7:$V$40,3,0)),"",VLOOKUP(B32,'Phases Finales'!$T$7:$V$40,3,0))</f>
        <v/>
      </c>
      <c r="H32" s="430" t="str">
        <f>IF(ISNA(VLOOKUP(B32,'Phases Finales'!$X$8:$Z$40,3,0)),"",VLOOKUP(B32,'Phases Finales'!$X$8:$Z$40,3,0))</f>
        <v/>
      </c>
      <c r="I32" s="430" t="str">
        <f>IF(ISNA(VLOOKUP(B32,'Phases Finales'!$AB$10:$AD$40,3,0)),"",VLOOKUP(B32,'Phases Finales'!$AB$10:$AD$40,3,0))</f>
        <v/>
      </c>
    </row>
    <row r="33" spans="1:9" ht="18.75">
      <c r="A33" s="83">
        <v>32</v>
      </c>
      <c r="B33" s="83" t="str">
        <f>+'Parties groupes_V'!B39</f>
        <v>JULIAT Eric</v>
      </c>
      <c r="C33" s="83" t="str">
        <f>'Parties groupes_V'!C39</f>
        <v>Boulieu les annonay</v>
      </c>
      <c r="D33" s="188">
        <f t="shared" si="0"/>
        <v>0</v>
      </c>
      <c r="F33" s="432">
        <f>SUM(IFERROR(VLOOKUP(B33,'Parties groupes_V'!$I$7:$O$60,7,0),0),IFERROR(VLOOKUP(B33,'Parties groupes_V'!$R$7:$X$60,7,0),0),IFERROR(VLOOKUP(B33,'Parties groupes_V'!$AA$7:$AG$60,7,0),0))</f>
        <v>0</v>
      </c>
      <c r="G33" s="433" t="str">
        <f>IF(ISNA(VLOOKUP(B33,'Phases Finales'!$T$7:$V$40,3,0)),"",VLOOKUP(B33,'Phases Finales'!$T$7:$V$40,3,0))</f>
        <v/>
      </c>
      <c r="H33" s="430" t="str">
        <f>IF(ISNA(VLOOKUP(B33,'Phases Finales'!$X$8:$Z$40,3,0)),"",VLOOKUP(B33,'Phases Finales'!$X$8:$Z$40,3,0))</f>
        <v/>
      </c>
      <c r="I33" s="430" t="str">
        <f>IF(ISNA(VLOOKUP(B33,'Phases Finales'!$AB$10:$AD$40,3,0)),"",VLOOKUP(B33,'Phases Finales'!$AB$10:$AD$40,3,0))</f>
        <v/>
      </c>
    </row>
    <row r="34" spans="1:9" ht="18.75">
      <c r="A34" s="83">
        <v>33</v>
      </c>
      <c r="B34" s="83" t="str">
        <f>+'Parties groupes_V'!B40</f>
        <v>POULAIN Paul</v>
      </c>
      <c r="C34" s="83" t="str">
        <f>'Parties groupes_V'!C40</f>
        <v>Quintenas</v>
      </c>
      <c r="D34" s="188">
        <f t="shared" si="0"/>
        <v>0</v>
      </c>
      <c r="F34" s="432">
        <f>SUM(IFERROR(VLOOKUP(B34,'Parties groupes_V'!$I$7:$O$60,7,0),0),IFERROR(VLOOKUP(B34,'Parties groupes_V'!$R$7:$X$60,7,0),0),IFERROR(VLOOKUP(B34,'Parties groupes_V'!$AA$7:$AG$60,7,0),0))</f>
        <v>0</v>
      </c>
      <c r="G34" s="433" t="str">
        <f>IF(ISNA(VLOOKUP(B34,'Phases Finales'!$T$7:$V$40,3,0)),"",VLOOKUP(B34,'Phases Finales'!$T$7:$V$40,3,0))</f>
        <v/>
      </c>
      <c r="H34" s="430" t="str">
        <f>IF(ISNA(VLOOKUP(B34,'Phases Finales'!$X$8:$Z$40,3,0)),"",VLOOKUP(B34,'Phases Finales'!$X$8:$Z$40,3,0))</f>
        <v/>
      </c>
      <c r="I34" s="430" t="str">
        <f>IF(ISNA(VLOOKUP(B34,'Phases Finales'!$AB$10:$AD$40,3,0)),"",VLOOKUP(B34,'Phases Finales'!$AB$10:$AD$40,3,0))</f>
        <v/>
      </c>
    </row>
    <row r="35" spans="1:9" ht="18.75">
      <c r="A35" s="83">
        <v>34</v>
      </c>
      <c r="B35" s="83" t="str">
        <f>+'Parties groupes_V'!B41</f>
        <v>SAINT ANDRE Stéphane</v>
      </c>
      <c r="C35" s="83" t="str">
        <f>'Parties groupes_V'!C41</f>
        <v>Cornas</v>
      </c>
      <c r="D35" s="188">
        <f t="shared" si="0"/>
        <v>0</v>
      </c>
      <c r="F35" s="432">
        <f>SUM(IFERROR(VLOOKUP(B35,'Parties groupes_V'!$I$7:$O$60,7,0),0),IFERROR(VLOOKUP(B35,'Parties groupes_V'!$R$7:$X$60,7,0),0),IFERROR(VLOOKUP(B35,'Parties groupes_V'!$AA$7:$AG$60,7,0),0))</f>
        <v>0</v>
      </c>
      <c r="G35" s="433" t="str">
        <f>IF(ISNA(VLOOKUP(B35,'Phases Finales'!$T$7:$V$40,3,0)),"",VLOOKUP(B35,'Phases Finales'!$T$7:$V$40,3,0))</f>
        <v/>
      </c>
      <c r="H35" s="430" t="str">
        <f>IF(ISNA(VLOOKUP(B35,'Phases Finales'!$X$8:$Z$40,3,0)),"",VLOOKUP(B35,'Phases Finales'!$X$8:$Z$40,3,0))</f>
        <v/>
      </c>
      <c r="I35" s="430" t="str">
        <f>IF(ISNA(VLOOKUP(B35,'Phases Finales'!$AB$10:$AD$40,3,0)),"",VLOOKUP(B35,'Phases Finales'!$AB$10:$AD$40,3,0))</f>
        <v/>
      </c>
    </row>
    <row r="36" spans="1:9" ht="18.75">
      <c r="A36" s="83">
        <v>35</v>
      </c>
      <c r="B36" s="83" t="str">
        <f>+'Parties groupes_V'!B42</f>
        <v>SASSOLAS Denis</v>
      </c>
      <c r="C36" s="83" t="str">
        <f>'Parties groupes_V'!C42</f>
        <v>Boulieu les annonay</v>
      </c>
      <c r="D36" s="188">
        <f t="shared" si="0"/>
        <v>0</v>
      </c>
      <c r="F36" s="432">
        <f>SUM(IFERROR(VLOOKUP(B36,'Parties groupes_V'!$I$7:$O$60,7,0),0),IFERROR(VLOOKUP(B36,'Parties groupes_V'!$R$7:$X$60,7,0),0),IFERROR(VLOOKUP(B36,'Parties groupes_V'!$AA$7:$AG$60,7,0),0))</f>
        <v>0</v>
      </c>
      <c r="G36" s="433" t="str">
        <f>IF(ISNA(VLOOKUP(B36,'Phases Finales'!$T$7:$V$40,3,0)),"",VLOOKUP(B36,'Phases Finales'!$T$7:$V$40,3,0))</f>
        <v/>
      </c>
      <c r="H36" s="430" t="str">
        <f>IF(ISNA(VLOOKUP(B36,'Phases Finales'!$X$8:$Z$40,3,0)),"",VLOOKUP(B36,'Phases Finales'!$X$8:$Z$40,3,0))</f>
        <v/>
      </c>
      <c r="I36" s="430" t="str">
        <f>IF(ISNA(VLOOKUP(B36,'Phases Finales'!$AB$10:$AD$40,3,0)),"",VLOOKUP(B36,'Phases Finales'!$AB$10:$AD$40,3,0))</f>
        <v/>
      </c>
    </row>
    <row r="37" spans="1:9" ht="18.75">
      <c r="A37" s="83">
        <v>36</v>
      </c>
      <c r="B37" s="83" t="str">
        <f>+'Parties groupes_V'!B43</f>
        <v>SOUBEYRAND Thierry</v>
      </c>
      <c r="C37" s="83" t="str">
        <f>'Parties groupes_V'!C43</f>
        <v>Saint-Cyr</v>
      </c>
      <c r="D37" s="188">
        <f t="shared" si="0"/>
        <v>0</v>
      </c>
      <c r="F37" s="432">
        <f>SUM(IFERROR(VLOOKUP(B37,'Parties groupes_V'!$I$7:$O$60,7,0),0),IFERROR(VLOOKUP(B37,'Parties groupes_V'!$R$7:$X$60,7,0),0),IFERROR(VLOOKUP(B37,'Parties groupes_V'!$AA$7:$AG$60,7,0),0))</f>
        <v>0</v>
      </c>
      <c r="G37" s="433" t="str">
        <f>IF(ISNA(VLOOKUP(B37,'Phases Finales'!$T$7:$V$40,3,0)),"",VLOOKUP(B37,'Phases Finales'!$T$7:$V$40,3,0))</f>
        <v/>
      </c>
      <c r="H37" s="430" t="str">
        <f>IF(ISNA(VLOOKUP(B37,'Phases Finales'!$X$8:$Z$40,3,0)),"",VLOOKUP(B37,'Phases Finales'!$X$8:$Z$40,3,0))</f>
        <v/>
      </c>
      <c r="I37" s="430" t="str">
        <f>IF(ISNA(VLOOKUP(B37,'Phases Finales'!$AB$10:$AD$40,3,0)),"",VLOOKUP(B37,'Phases Finales'!$AB$10:$AD$40,3,0))</f>
        <v/>
      </c>
    </row>
    <row r="38" spans="1:9" ht="18.75">
      <c r="A38" s="83">
        <v>37</v>
      </c>
      <c r="B38" s="83" t="str">
        <f>+'Parties groupes_V'!B44</f>
        <v>TESTUD Maurice</v>
      </c>
      <c r="C38" s="83" t="str">
        <f>'Parties groupes_V'!C44</f>
        <v>Alissas</v>
      </c>
      <c r="D38" s="188">
        <f t="shared" si="0"/>
        <v>0</v>
      </c>
      <c r="F38" s="432">
        <f>SUM(IFERROR(VLOOKUP(B38,'Parties groupes_V'!$I$7:$O$60,7,0),0),IFERROR(VLOOKUP(B38,'Parties groupes_V'!$R$7:$X$60,7,0),0),IFERROR(VLOOKUP(B38,'Parties groupes_V'!$AA$7:$AG$60,7,0),0))</f>
        <v>0</v>
      </c>
      <c r="G38" s="433" t="str">
        <f>IF(ISNA(VLOOKUP(B38,'Phases Finales'!$T$7:$V$40,3,0)),"",VLOOKUP(B38,'Phases Finales'!$T$7:$V$40,3,0))</f>
        <v/>
      </c>
      <c r="H38" s="430" t="str">
        <f>IF(ISNA(VLOOKUP(B38,'Phases Finales'!$X$8:$Z$40,3,0)),"",VLOOKUP(B38,'Phases Finales'!$X$8:$Z$40,3,0))</f>
        <v/>
      </c>
      <c r="I38" s="430" t="str">
        <f>IF(ISNA(VLOOKUP(B38,'Phases Finales'!$AB$10:$AD$40,3,0)),"",VLOOKUP(B38,'Phases Finales'!$AB$10:$AD$40,3,0))</f>
        <v/>
      </c>
    </row>
    <row r="39" spans="1:9" ht="18.75">
      <c r="A39" s="83">
        <v>38</v>
      </c>
      <c r="B39" s="83" t="str">
        <f>+'Parties groupes_V'!B45</f>
        <v>VASCHALDE GUY</v>
      </c>
      <c r="C39" s="83" t="str">
        <f>'Parties groupes_V'!C45</f>
        <v>Joyeuse</v>
      </c>
      <c r="D39" s="188">
        <f t="shared" si="0"/>
        <v>0</v>
      </c>
      <c r="F39" s="432">
        <f>SUM(IFERROR(VLOOKUP(B39,'Parties groupes_V'!$I$7:$O$60,7,0),0),IFERROR(VLOOKUP(B39,'Parties groupes_V'!$R$7:$X$60,7,0),0),IFERROR(VLOOKUP(B39,'Parties groupes_V'!$AA$7:$AG$60,7,0),0))</f>
        <v>0</v>
      </c>
      <c r="G39" s="433" t="str">
        <f>IF(ISNA(VLOOKUP(B39,'Phases Finales'!$T$7:$V$40,3,0)),"",VLOOKUP(B39,'Phases Finales'!$T$7:$V$40,3,0))</f>
        <v/>
      </c>
      <c r="H39" s="430" t="str">
        <f>IF(ISNA(VLOOKUP(B39,'Phases Finales'!$X$8:$Z$40,3,0)),"",VLOOKUP(B39,'Phases Finales'!$X$8:$Z$40,3,0))</f>
        <v/>
      </c>
      <c r="I39" s="430" t="str">
        <f>IF(ISNA(VLOOKUP(B39,'Phases Finales'!$AB$10:$AD$40,3,0)),"",VLOOKUP(B39,'Phases Finales'!$AB$10:$AD$40,3,0))</f>
        <v/>
      </c>
    </row>
    <row r="40" spans="1:9" ht="18.75">
      <c r="A40" s="83">
        <v>39</v>
      </c>
      <c r="B40" s="83" t="str">
        <f>+'Parties groupes_V'!B46</f>
        <v xml:space="preserve">VERSINO Fabien </v>
      </c>
      <c r="C40" s="83" t="str">
        <f>'Parties groupes_V'!C46</f>
        <v>St Alban d'Ay</v>
      </c>
      <c r="D40" s="188">
        <f t="shared" si="0"/>
        <v>0</v>
      </c>
      <c r="F40" s="432">
        <f>SUM(IFERROR(VLOOKUP(B40,'Parties groupes_V'!$I$7:$O$60,7,0),0),IFERROR(VLOOKUP(B40,'Parties groupes_V'!$R$7:$X$60,7,0),0),IFERROR(VLOOKUP(B40,'Parties groupes_V'!$AA$7:$AG$60,7,0),0))</f>
        <v>0</v>
      </c>
      <c r="G40" s="433" t="str">
        <f>IF(ISNA(VLOOKUP(B40,'Phases Finales'!$T$7:$V$40,3,0)),"",VLOOKUP(B40,'Phases Finales'!$T$7:$V$40,3,0))</f>
        <v/>
      </c>
      <c r="H40" s="430" t="str">
        <f>IF(ISNA(VLOOKUP(B40,'Phases Finales'!$X$8:$Z$40,3,0)),"",VLOOKUP(B40,'Phases Finales'!$X$8:$Z$40,3,0))</f>
        <v/>
      </c>
      <c r="I40" s="430" t="str">
        <f>IF(ISNA(VLOOKUP(B40,'Phases Finales'!$AB$10:$AD$40,3,0)),"",VLOOKUP(B40,'Phases Finales'!$AB$10:$AD$40,3,0))</f>
        <v/>
      </c>
    </row>
    <row r="41" spans="1:9" ht="18.75">
      <c r="A41" s="83">
        <v>40</v>
      </c>
      <c r="B41" s="83" t="str">
        <f>+'Parties groupes_V'!B47</f>
        <v>YANEZ José</v>
      </c>
      <c r="C41" s="83" t="str">
        <f>'Parties groupes_V'!C47</f>
        <v>St Sauveur de montagut</v>
      </c>
      <c r="D41" s="188">
        <f t="shared" si="0"/>
        <v>0</v>
      </c>
      <c r="F41" s="432">
        <f>SUM(IFERROR(VLOOKUP(B41,'Parties groupes_V'!$I$7:$O$60,7,0),0),IFERROR(VLOOKUP(B41,'Parties groupes_V'!$R$7:$X$60,7,0),0),IFERROR(VLOOKUP(B41,'Parties groupes_V'!$AA$7:$AG$60,7,0),0))</f>
        <v>0</v>
      </c>
      <c r="G41" s="433" t="str">
        <f>IF(ISNA(VLOOKUP(B41,'Phases Finales'!$T$7:$V$40,3,0)),"",VLOOKUP(B41,'Phases Finales'!$T$7:$V$40,3,0))</f>
        <v/>
      </c>
      <c r="H41" s="430" t="str">
        <f>IF(ISNA(VLOOKUP(B41,'Phases Finales'!$X$8:$Z$40,3,0)),"",VLOOKUP(B41,'Phases Finales'!$X$8:$Z$40,3,0))</f>
        <v/>
      </c>
      <c r="I41" s="430" t="str">
        <f>IF(ISNA(VLOOKUP(B41,'Phases Finales'!$AB$10:$AD$40,3,0)),"",VLOOKUP(B41,'Phases Finales'!$AB$10:$AD$40,3,0))</f>
        <v/>
      </c>
    </row>
    <row r="42" spans="1:9" ht="18.75">
      <c r="D42" s="434">
        <f>SUM(D2:D41)</f>
        <v>0</v>
      </c>
    </row>
    <row r="44" spans="1:9" ht="18.75">
      <c r="D44" s="435">
        <v>62</v>
      </c>
    </row>
  </sheetData>
  <sheetProtection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33"/>
  <sheetViews>
    <sheetView workbookViewId="0">
      <selection activeCell="N25" sqref="N25"/>
    </sheetView>
  </sheetViews>
  <sheetFormatPr baseColWidth="10" defaultRowHeight="12.75"/>
  <cols>
    <col min="1" max="1" width="11.42578125" style="258"/>
  </cols>
  <sheetData>
    <row r="2" spans="1:1" ht="18.75">
      <c r="A2" s="248" t="s">
        <v>88</v>
      </c>
    </row>
    <row r="3" spans="1:1" ht="18.75">
      <c r="A3" s="249"/>
    </row>
    <row r="4" spans="1:1" ht="18.75">
      <c r="A4" s="249"/>
    </row>
    <row r="5" spans="1:1" ht="18.75">
      <c r="A5" s="249" t="s">
        <v>89</v>
      </c>
    </row>
    <row r="6" spans="1:1" ht="18.75">
      <c r="A6" s="249"/>
    </row>
    <row r="7" spans="1:1" ht="18.75">
      <c r="A7" s="249" t="s">
        <v>90</v>
      </c>
    </row>
    <row r="8" spans="1:1" ht="18.75">
      <c r="A8" s="249"/>
    </row>
    <row r="9" spans="1:1" ht="18.75">
      <c r="A9" s="249" t="s">
        <v>91</v>
      </c>
    </row>
    <row r="10" spans="1:1" ht="18.75">
      <c r="A10" s="249"/>
    </row>
    <row r="11" spans="1:1" ht="18.75">
      <c r="A11" s="250" t="s">
        <v>92</v>
      </c>
    </row>
    <row r="12" spans="1:1" ht="18.75">
      <c r="A12" s="249"/>
    </row>
    <row r="13" spans="1:1" ht="18.75">
      <c r="A13" s="251" t="s">
        <v>93</v>
      </c>
    </row>
    <row r="14" spans="1:1" ht="18.75">
      <c r="A14" s="252" t="s">
        <v>94</v>
      </c>
    </row>
    <row r="15" spans="1:1" ht="18.75">
      <c r="A15" s="252" t="s">
        <v>95</v>
      </c>
    </row>
    <row r="16" spans="1:1" ht="18.75">
      <c r="A16" s="253" t="s">
        <v>96</v>
      </c>
    </row>
    <row r="17" spans="1:1" ht="18.75">
      <c r="A17" s="252" t="s">
        <v>97</v>
      </c>
    </row>
    <row r="18" spans="1:1" ht="18.75">
      <c r="A18" s="252" t="s">
        <v>98</v>
      </c>
    </row>
    <row r="19" spans="1:1" ht="18.75">
      <c r="A19" s="252" t="s">
        <v>99</v>
      </c>
    </row>
    <row r="20" spans="1:1" ht="18.75">
      <c r="A20" s="254"/>
    </row>
    <row r="21" spans="1:1" ht="18.75">
      <c r="A21" s="255" t="s">
        <v>100</v>
      </c>
    </row>
    <row r="22" spans="1:1" ht="18.75">
      <c r="A22" s="255" t="s">
        <v>101</v>
      </c>
    </row>
    <row r="23" spans="1:1" ht="18.75">
      <c r="A23" s="255"/>
    </row>
    <row r="24" spans="1:1" ht="18.75">
      <c r="A24" s="255"/>
    </row>
    <row r="25" spans="1:1" ht="18.75">
      <c r="A25" s="256" t="s">
        <v>102</v>
      </c>
    </row>
    <row r="26" spans="1:1" ht="18.75">
      <c r="A26" s="257" t="s">
        <v>103</v>
      </c>
    </row>
    <row r="27" spans="1:1" ht="18.75">
      <c r="A27" s="257" t="s">
        <v>104</v>
      </c>
    </row>
    <row r="28" spans="1:1" ht="18.75">
      <c r="A28" s="256" t="s">
        <v>105</v>
      </c>
    </row>
    <row r="29" spans="1:1" ht="18.75">
      <c r="A29" s="256" t="s">
        <v>106</v>
      </c>
    </row>
    <row r="30" spans="1:1" ht="18.75">
      <c r="A30" s="257" t="s">
        <v>107</v>
      </c>
    </row>
    <row r="31" spans="1:1" ht="18.75">
      <c r="A31" s="257" t="s">
        <v>108</v>
      </c>
    </row>
    <row r="32" spans="1:1" ht="18.75">
      <c r="A32" s="257" t="s">
        <v>109</v>
      </c>
    </row>
    <row r="33" spans="1:1" ht="18.75">
      <c r="A33" s="249" t="s">
        <v>110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5ème J_Satillieu_M4</vt:lpstr>
      <vt:lpstr>Déroulé</vt:lpstr>
      <vt:lpstr>Parties groupes_V</vt:lpstr>
      <vt:lpstr>Phases Finales</vt:lpstr>
      <vt:lpstr>Classement</vt:lpstr>
      <vt:lpstr>Classement (2)</vt:lpstr>
      <vt:lpstr>Points Catégorie</vt:lpstr>
      <vt:lpstr>Epreuve  d'appui</vt:lpstr>
      <vt:lpstr>'Epreuve  d''appui'!_GoBack</vt:lpstr>
      <vt:lpstr>v2T2RANS</vt:lpstr>
      <vt:lpstr>'Parties groupes_V'!Zone_d_impression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Gabriel HILAIRE</cp:lastModifiedBy>
  <cp:lastPrinted>2022-09-24T10:05:12Z</cp:lastPrinted>
  <dcterms:created xsi:type="dcterms:W3CDTF">2004-09-07T08:56:58Z</dcterms:created>
  <dcterms:modified xsi:type="dcterms:W3CDTF">2023-02-11T10:29:40Z</dcterms:modified>
</cp:coreProperties>
</file>