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D481DDE-8609-43A7-B9BE-7C072487A16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éroulé" sheetId="7" r:id="rId1"/>
    <sheet name="Class. Final" sheetId="1" r:id="rId2"/>
    <sheet name="1J" sheetId="2" r:id="rId3"/>
    <sheet name="2J" sheetId="3" r:id="rId4"/>
    <sheet name="3J" sheetId="4" r:id="rId5"/>
    <sheet name="4J" sheetId="5" r:id="rId6"/>
    <sheet name="5J" sheetId="6" r:id="rId7"/>
  </sheets>
  <externalReferences>
    <externalReference r:id="rId8"/>
  </externalReferences>
  <definedNames>
    <definedName name="_xlnm.Print_Area" localSheetId="1">'Class. Final'!$AB$1:$AS$24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I6" i="5"/>
  <c r="M6" i="5"/>
  <c r="N6" i="5"/>
  <c r="O6" i="5"/>
  <c r="N24" i="5"/>
  <c r="I24" i="5"/>
  <c r="I23" i="5"/>
  <c r="N22" i="5"/>
  <c r="G22" i="5"/>
  <c r="F22" i="5"/>
  <c r="I22" i="5" s="1"/>
  <c r="F21" i="5"/>
  <c r="I21" i="5" s="1"/>
  <c r="I19" i="5"/>
  <c r="N18" i="5"/>
  <c r="F18" i="5"/>
  <c r="I18" i="5" s="1"/>
  <c r="F17" i="5"/>
  <c r="I17" i="5" s="1"/>
  <c r="I16" i="5"/>
  <c r="F14" i="5"/>
  <c r="I14" i="5" s="1"/>
  <c r="F13" i="5"/>
  <c r="I13" i="5" s="1"/>
  <c r="F12" i="5"/>
  <c r="I12" i="5" s="1"/>
  <c r="N11" i="5"/>
  <c r="J11" i="5"/>
  <c r="E11" i="5"/>
  <c r="C11" i="5"/>
  <c r="F11" i="5" s="1"/>
  <c r="I11" i="5" s="1"/>
  <c r="K9" i="5"/>
  <c r="F9" i="5"/>
  <c r="I9" i="5" s="1"/>
  <c r="C8" i="5"/>
  <c r="F8" i="5" s="1"/>
  <c r="I8" i="5" s="1"/>
  <c r="E7" i="5"/>
  <c r="D7" i="5"/>
  <c r="I7" i="5"/>
  <c r="H26" i="5"/>
  <c r="G26" i="5"/>
  <c r="D26" i="5"/>
  <c r="C26" i="5" l="1"/>
  <c r="E26" i="5"/>
  <c r="J26" i="5"/>
  <c r="L9" i="5"/>
  <c r="M7" i="5"/>
  <c r="N7" i="5" s="1"/>
  <c r="O7" i="5"/>
  <c r="M8" i="5"/>
  <c r="N8" i="5" s="1"/>
  <c r="K8" i="5"/>
  <c r="O8" i="5" s="1"/>
  <c r="O9" i="5"/>
  <c r="L11" i="5"/>
  <c r="K11" i="5"/>
  <c r="O11" i="5" s="1"/>
  <c r="M12" i="5"/>
  <c r="N12" i="5" s="1"/>
  <c r="L12" i="5"/>
  <c r="K12" i="5"/>
  <c r="O12" i="5" s="1"/>
  <c r="M13" i="5"/>
  <c r="N13" i="5" s="1"/>
  <c r="K13" i="5"/>
  <c r="O13" i="5" s="1"/>
  <c r="M14" i="5"/>
  <c r="N14" i="5" s="1"/>
  <c r="O14" i="5"/>
  <c r="M16" i="5"/>
  <c r="N16" i="5" s="1"/>
  <c r="K16" i="5"/>
  <c r="O16" i="5" s="1"/>
  <c r="M17" i="5"/>
  <c r="N17" i="5" s="1"/>
  <c r="L17" i="5"/>
  <c r="K17" i="5"/>
  <c r="O17" i="5" s="1"/>
  <c r="L18" i="5"/>
  <c r="K18" i="5"/>
  <c r="O18" i="5" s="1"/>
  <c r="M19" i="5"/>
  <c r="N19" i="5" s="1"/>
  <c r="K19" i="5"/>
  <c r="O19" i="5" s="1"/>
  <c r="L21" i="5"/>
  <c r="K21" i="5"/>
  <c r="O21" i="5" s="1"/>
  <c r="L22" i="5"/>
  <c r="K22" i="5"/>
  <c r="O22" i="5" s="1"/>
  <c r="M23" i="5"/>
  <c r="N23" i="5" s="1"/>
  <c r="L23" i="5"/>
  <c r="K23" i="5"/>
  <c r="O23" i="5" s="1"/>
  <c r="L24" i="5"/>
  <c r="K24" i="5"/>
  <c r="O24" i="5" s="1"/>
  <c r="L26" i="5" l="1"/>
  <c r="K26" i="5"/>
  <c r="O26" i="5"/>
  <c r="M26" i="5"/>
  <c r="N26" i="5"/>
  <c r="F26" i="5"/>
  <c r="I26" i="5"/>
  <c r="V16" i="1" l="1"/>
  <c r="T16" i="1"/>
  <c r="R16" i="1"/>
  <c r="V7" i="1"/>
  <c r="T7" i="1"/>
  <c r="R7" i="1"/>
  <c r="V6" i="1"/>
  <c r="T6" i="1"/>
  <c r="R6" i="1"/>
  <c r="U16" i="1"/>
  <c r="S16" i="1"/>
  <c r="U7" i="1"/>
  <c r="S7" i="1"/>
  <c r="U6" i="1"/>
  <c r="S6" i="1"/>
  <c r="B20" i="1"/>
  <c r="I20" i="1" l="1"/>
  <c r="K20" i="1"/>
  <c r="M20" i="1"/>
  <c r="O20" i="1"/>
  <c r="Q20" i="1"/>
  <c r="S20" i="1"/>
  <c r="U20" i="1"/>
  <c r="W20" i="1"/>
  <c r="Y20" i="1"/>
  <c r="AA20" i="1"/>
  <c r="H20" i="1"/>
  <c r="J20" i="1"/>
  <c r="L20" i="1"/>
  <c r="N20" i="1"/>
  <c r="P20" i="1"/>
  <c r="R20" i="1"/>
  <c r="T20" i="1"/>
  <c r="V20" i="1"/>
  <c r="X20" i="1"/>
  <c r="Z20" i="1"/>
  <c r="C20" i="1"/>
  <c r="D20" i="1"/>
  <c r="E20" i="1"/>
  <c r="F20" i="1"/>
  <c r="G20" i="1"/>
  <c r="C21" i="1" l="1"/>
  <c r="G21" i="1"/>
  <c r="E21" i="1"/>
  <c r="F21" i="1"/>
  <c r="D21" i="1"/>
  <c r="H21" i="1"/>
  <c r="N21" i="1"/>
  <c r="L21" i="1"/>
  <c r="J21" i="1"/>
  <c r="O21" i="1"/>
  <c r="M21" i="1"/>
  <c r="K21" i="1"/>
  <c r="I21" i="1"/>
  <c r="AF5" i="1"/>
  <c r="AF6" i="1"/>
  <c r="AF8" i="1"/>
  <c r="AF9" i="1"/>
  <c r="AF10" i="1"/>
  <c r="AF12" i="1"/>
  <c r="AF13" i="1"/>
  <c r="AF14" i="1"/>
  <c r="AF16" i="1"/>
  <c r="AF17" i="1"/>
  <c r="AF18" i="1"/>
  <c r="AF20" i="1"/>
  <c r="AF7" i="1"/>
  <c r="AF11" i="1"/>
  <c r="AF15" i="1"/>
  <c r="AF19" i="1"/>
  <c r="Q21" i="1" l="1"/>
  <c r="V21" i="1"/>
  <c r="P21" i="1"/>
  <c r="AA21" i="1"/>
  <c r="AF4" i="1"/>
  <c r="AC4" i="1"/>
  <c r="AE4" i="1"/>
  <c r="AG19" i="1"/>
  <c r="AG17" i="1"/>
  <c r="AG15" i="1"/>
  <c r="AG13" i="1"/>
  <c r="AG11" i="1"/>
  <c r="AG9" i="1"/>
  <c r="AG7" i="1"/>
  <c r="AG5" i="1"/>
  <c r="AD4" i="1"/>
  <c r="AG20" i="1"/>
  <c r="AG18" i="1"/>
  <c r="AG16" i="1"/>
  <c r="AG14" i="1"/>
  <c r="AG12" i="1"/>
  <c r="AG10" i="1"/>
  <c r="AG8" i="1"/>
  <c r="AG6" i="1"/>
  <c r="AG4" i="1"/>
  <c r="AF21" i="1" l="1"/>
  <c r="X21" i="1"/>
  <c r="T21" i="1"/>
  <c r="R21" i="1"/>
  <c r="Y21" i="1"/>
  <c r="W21" i="1"/>
  <c r="S21" i="1"/>
  <c r="AG21" i="1"/>
  <c r="AG23" i="1"/>
  <c r="AL21" i="1" l="1"/>
  <c r="Z21" i="1"/>
  <c r="U21" i="1"/>
  <c r="AC7" i="1"/>
  <c r="AD7" i="1"/>
  <c r="AE7" i="1"/>
  <c r="AC8" i="1"/>
  <c r="AD8" i="1"/>
  <c r="AE8" i="1"/>
  <c r="AC9" i="1"/>
  <c r="AD9" i="1"/>
  <c r="AE9" i="1"/>
  <c r="AC10" i="1"/>
  <c r="AD10" i="1"/>
  <c r="AE10" i="1"/>
  <c r="AC11" i="1"/>
  <c r="AD11" i="1"/>
  <c r="AE11" i="1"/>
  <c r="AC12" i="1"/>
  <c r="AD12" i="1"/>
  <c r="AE12" i="1"/>
  <c r="AC13" i="1"/>
  <c r="AD13" i="1"/>
  <c r="AE13" i="1"/>
  <c r="AC14" i="1"/>
  <c r="AD14" i="1"/>
  <c r="AE14" i="1"/>
  <c r="AC15" i="1"/>
  <c r="AD15" i="1"/>
  <c r="AE15" i="1"/>
  <c r="AC16" i="1"/>
  <c r="AD16" i="1"/>
  <c r="AE16" i="1"/>
  <c r="AC17" i="1"/>
  <c r="AD17" i="1"/>
  <c r="AE17" i="1"/>
  <c r="AC18" i="1"/>
  <c r="AD18" i="1"/>
  <c r="AE18" i="1"/>
  <c r="AC19" i="1"/>
  <c r="AD19" i="1"/>
  <c r="AE19" i="1"/>
  <c r="AC20" i="1"/>
  <c r="AD20" i="1"/>
  <c r="AE20" i="1"/>
  <c r="AE5" i="1" l="1"/>
  <c r="AE6" i="1"/>
  <c r="AD5" i="1"/>
  <c r="AD6" i="1"/>
  <c r="AC5" i="1"/>
  <c r="AC6" i="1"/>
  <c r="AH5" i="1" l="1"/>
  <c r="AH4" i="1"/>
  <c r="AH12" i="1"/>
  <c r="AH7" i="1"/>
  <c r="AH11" i="1"/>
  <c r="AH15" i="1"/>
  <c r="AH19" i="1"/>
  <c r="AH20" i="1"/>
  <c r="AH6" i="1"/>
  <c r="AH8" i="1"/>
  <c r="AH10" i="1"/>
  <c r="AH14" i="1"/>
  <c r="AH16" i="1"/>
  <c r="AH18" i="1"/>
  <c r="AH9" i="1"/>
  <c r="AH13" i="1"/>
  <c r="AH17" i="1"/>
  <c r="AC21" i="1"/>
  <c r="AD21" i="1"/>
  <c r="AE21" i="1"/>
  <c r="AE23" i="1"/>
  <c r="AD23" i="1"/>
  <c r="AI4" i="1" l="1"/>
  <c r="AI20" i="1"/>
  <c r="AI14" i="1"/>
  <c r="AI12" i="1"/>
  <c r="AI9" i="1"/>
  <c r="AI7" i="1"/>
  <c r="AI5" i="1"/>
  <c r="AI10" i="1"/>
  <c r="AI13" i="1"/>
  <c r="AI11" i="1"/>
  <c r="AI8" i="1"/>
  <c r="AI6" i="1"/>
  <c r="AC23" i="1"/>
  <c r="AK4" i="1" l="1"/>
  <c r="AL4" i="1"/>
  <c r="AP11" i="1"/>
  <c r="AQ11" i="1"/>
  <c r="AL11" i="1"/>
  <c r="AM11" i="1"/>
  <c r="AN11" i="1"/>
  <c r="AO11" i="1"/>
  <c r="AP10" i="1"/>
  <c r="AQ10" i="1"/>
  <c r="AN10" i="1"/>
  <c r="AM10" i="1"/>
  <c r="AL10" i="1"/>
  <c r="AO10" i="1"/>
  <c r="AP7" i="1"/>
  <c r="AQ7" i="1"/>
  <c r="AL7" i="1"/>
  <c r="AM7" i="1"/>
  <c r="AN7" i="1"/>
  <c r="AO7" i="1"/>
  <c r="AP12" i="1"/>
  <c r="AQ12" i="1"/>
  <c r="AN12" i="1"/>
  <c r="AM12" i="1"/>
  <c r="AL12" i="1"/>
  <c r="AO12" i="1"/>
  <c r="AP20" i="1"/>
  <c r="AQ20" i="1"/>
  <c r="AM20" i="1"/>
  <c r="AO20" i="1"/>
  <c r="AL20" i="1"/>
  <c r="AN20" i="1"/>
  <c r="AM4" i="1"/>
  <c r="AO4" i="1"/>
  <c r="AN4" i="1"/>
  <c r="AP4" i="1"/>
  <c r="AP6" i="1"/>
  <c r="AQ6" i="1"/>
  <c r="AL6" i="1"/>
  <c r="AO6" i="1"/>
  <c r="AM6" i="1"/>
  <c r="AN6" i="1"/>
  <c r="AP8" i="1"/>
  <c r="AQ8" i="1"/>
  <c r="AN8" i="1"/>
  <c r="AL8" i="1"/>
  <c r="AM8" i="1"/>
  <c r="AO8" i="1"/>
  <c r="AP13" i="1"/>
  <c r="AQ13" i="1"/>
  <c r="AN13" i="1"/>
  <c r="AM13" i="1"/>
  <c r="AL13" i="1"/>
  <c r="AO13" i="1"/>
  <c r="AP5" i="1"/>
  <c r="AN5" i="1"/>
  <c r="AL5" i="1"/>
  <c r="AM5" i="1"/>
  <c r="AO5" i="1"/>
  <c r="AP9" i="1"/>
  <c r="AQ9" i="1"/>
  <c r="AN9" i="1"/>
  <c r="AM9" i="1"/>
  <c r="AL9" i="1"/>
  <c r="AO9" i="1"/>
  <c r="AP14" i="1"/>
  <c r="AQ14" i="1"/>
  <c r="AN14" i="1"/>
  <c r="AM14" i="1"/>
  <c r="AL14" i="1"/>
  <c r="AO14" i="1"/>
  <c r="AI18" i="1"/>
  <c r="AI16" i="1"/>
  <c r="AI19" i="1"/>
  <c r="AI17" i="1"/>
  <c r="AI15" i="1"/>
  <c r="AK14" i="1" l="1"/>
  <c r="AK9" i="1"/>
  <c r="AK13" i="1"/>
  <c r="AK12" i="1"/>
  <c r="AK8" i="1"/>
  <c r="AK7" i="1"/>
  <c r="AK10" i="1"/>
  <c r="AK11" i="1"/>
  <c r="AP19" i="1"/>
  <c r="AQ19" i="1"/>
  <c r="AL19" i="1"/>
  <c r="AM19" i="1"/>
  <c r="AN19" i="1"/>
  <c r="AO19" i="1"/>
  <c r="AP18" i="1"/>
  <c r="AQ18" i="1"/>
  <c r="AN18" i="1"/>
  <c r="AM18" i="1"/>
  <c r="AL18" i="1"/>
  <c r="AO18" i="1"/>
  <c r="AP15" i="1"/>
  <c r="AQ15" i="1"/>
  <c r="AL15" i="1"/>
  <c r="AM15" i="1"/>
  <c r="AN15" i="1"/>
  <c r="AO15" i="1"/>
  <c r="AP17" i="1"/>
  <c r="AQ17" i="1"/>
  <c r="AN17" i="1"/>
  <c r="AM17" i="1"/>
  <c r="AL17" i="1"/>
  <c r="AO17" i="1"/>
  <c r="AP16" i="1"/>
  <c r="AQ16" i="1"/>
  <c r="AN16" i="1"/>
  <c r="AL16" i="1"/>
  <c r="AM16" i="1"/>
  <c r="AO16" i="1"/>
  <c r="AQ21" i="1" l="1"/>
  <c r="AM21" i="1"/>
  <c r="AK17" i="1"/>
  <c r="AK15" i="1"/>
  <c r="AP21" i="1"/>
  <c r="AK18" i="1"/>
  <c r="AK19" i="1" s="1"/>
  <c r="AK16" i="1"/>
  <c r="AN21" i="1"/>
  <c r="AO21" i="1"/>
</calcChain>
</file>

<file path=xl/sharedStrings.xml><?xml version="1.0" encoding="utf-8"?>
<sst xmlns="http://schemas.openxmlformats.org/spreadsheetml/2006/main" count="266" uniqueCount="96">
  <si>
    <t>NOM Prénom</t>
  </si>
  <si>
    <t>M3   1ère Journée</t>
  </si>
  <si>
    <t>Lieu</t>
  </si>
  <si>
    <t>Parties de Groupes</t>
  </si>
  <si>
    <t>Parties Finales</t>
  </si>
  <si>
    <t>P1</t>
  </si>
  <si>
    <t>P2</t>
  </si>
  <si>
    <t>P3</t>
  </si>
  <si>
    <t>TOTAL</t>
  </si>
  <si>
    <t>Points concédés</t>
  </si>
  <si>
    <t>Goal Average</t>
  </si>
  <si>
    <t>RANG</t>
  </si>
  <si>
    <t>BONUS</t>
  </si>
  <si>
    <t>Partie de Classement</t>
  </si>
  <si>
    <t>1/2 Finale</t>
  </si>
  <si>
    <t>Finale</t>
  </si>
  <si>
    <t>TOTAL GENERAL</t>
  </si>
  <si>
    <t>Pts</t>
  </si>
  <si>
    <t>GA</t>
  </si>
  <si>
    <t>Class.</t>
  </si>
  <si>
    <t>NOMS</t>
  </si>
  <si>
    <t>Rang</t>
  </si>
  <si>
    <t>Class. 1</t>
  </si>
  <si>
    <t>Télécharger les résultats de la journée</t>
  </si>
  <si>
    <t>Copier l'onglet  1A_CL</t>
  </si>
  <si>
    <t>CONCOURS QUALIFICATIFS M3 2022.2023</t>
  </si>
  <si>
    <t>Bonus</t>
  </si>
  <si>
    <t>Pts Faits</t>
  </si>
  <si>
    <t>le GA colonne I, le bonus colonne K et le Total colonne O)</t>
  </si>
  <si>
    <r>
      <t xml:space="preserve">Coller dans l'onglet Journée correspondante </t>
    </r>
    <r>
      <rPr>
        <sz val="16"/>
        <color rgb="FFFF0000"/>
        <rFont val="Times New Roman"/>
        <family val="2"/>
      </rPr>
      <t>(Attention les Noms des équipes doivent se trouvaient impérativement dans la colonne B les points faits dans la colonne G</t>
    </r>
  </si>
  <si>
    <t>Le classement se fait automatiquement voir l'onglet Class. Final</t>
  </si>
  <si>
    <t>Pts concédés</t>
  </si>
  <si>
    <t>CONCOURS QUALIFICATIFS 2023.2024</t>
  </si>
  <si>
    <t>2ème Journée</t>
  </si>
  <si>
    <t xml:space="preserve">   5ème  Journée</t>
  </si>
  <si>
    <t xml:space="preserve"> 3ème  Journée</t>
  </si>
  <si>
    <t xml:space="preserve">RESULTATS </t>
  </si>
  <si>
    <t>CANCADE. J</t>
  </si>
  <si>
    <t>MAIRE.L</t>
  </si>
  <si>
    <t>SOUCHE. F</t>
  </si>
  <si>
    <t>BLANC. L</t>
  </si>
  <si>
    <t>PLENET. O</t>
  </si>
  <si>
    <t>FRAYSSE. D</t>
  </si>
  <si>
    <t>PEYRET. A</t>
  </si>
  <si>
    <t>CAPITAINE. S</t>
  </si>
  <si>
    <t>DAMON. A.S</t>
  </si>
  <si>
    <t>DALLOZ. C</t>
  </si>
  <si>
    <t>MONTERIMARD. G</t>
  </si>
  <si>
    <t>TEYSSIER. N</t>
  </si>
  <si>
    <t>VAUX. V</t>
  </si>
  <si>
    <t>PERRIN. J</t>
  </si>
  <si>
    <t>ROYER. D</t>
  </si>
  <si>
    <t>FROMENTOUX. S</t>
  </si>
  <si>
    <t>DALLOZ</t>
  </si>
  <si>
    <t>CAPITAINE</t>
  </si>
  <si>
    <t>PERRIN</t>
  </si>
  <si>
    <t>MAIRE</t>
  </si>
  <si>
    <t>FROMENTOUX</t>
  </si>
  <si>
    <t>MONTERIMARD</t>
  </si>
  <si>
    <t>PLENET</t>
  </si>
  <si>
    <t>SOUCHE</t>
  </si>
  <si>
    <t>DAMON</t>
  </si>
  <si>
    <t>BLANC</t>
  </si>
  <si>
    <t>VAUX</t>
  </si>
  <si>
    <t>FRAYSSE</t>
  </si>
  <si>
    <t>TEYSSIER</t>
  </si>
  <si>
    <t>CANCADE</t>
  </si>
  <si>
    <t>PEYRET</t>
  </si>
  <si>
    <t>ROYER</t>
  </si>
  <si>
    <t>PERRET. A</t>
  </si>
  <si>
    <t>MAIRE. L</t>
  </si>
  <si>
    <t>MONTERIMAR</t>
  </si>
  <si>
    <t>CONCOURS QUALIFICATIFS - ARDECHE 2023.24</t>
  </si>
  <si>
    <t>F3/F4.  4 IEME JOURNEE</t>
  </si>
  <si>
    <t>24 Mars 2024</t>
  </si>
  <si>
    <t>LE CHEYLARD</t>
  </si>
  <si>
    <t>Points Faits</t>
  </si>
  <si>
    <t>5  AUBENAS</t>
  </si>
  <si>
    <t xml:space="preserve">  </t>
  </si>
  <si>
    <t>ANNONAY</t>
  </si>
  <si>
    <t xml:space="preserve">                                                              CHARMES</t>
  </si>
  <si>
    <t xml:space="preserve">                        GUILHERAND-GRANGES</t>
  </si>
  <si>
    <t xml:space="preserve">      1er</t>
  </si>
  <si>
    <t xml:space="preserve">  2ième</t>
  </si>
  <si>
    <t>3ième</t>
  </si>
  <si>
    <t xml:space="preserve">                         LE CHEYLARD                      4ième</t>
  </si>
  <si>
    <t>NOM</t>
  </si>
  <si>
    <t>FRAISSE</t>
  </si>
  <si>
    <t>PERRET</t>
  </si>
  <si>
    <t>ROYER FORFAIT</t>
  </si>
  <si>
    <t>TESSIER</t>
  </si>
  <si>
    <r>
      <t xml:space="preserve">       </t>
    </r>
    <r>
      <rPr>
        <b/>
        <sz val="16"/>
        <color theme="1"/>
        <rFont val="Times New Roman"/>
        <family val="1"/>
      </rPr>
      <t xml:space="preserve">     QUALIF. F3.F4  CLASSEMENT  FINAL</t>
    </r>
  </si>
  <si>
    <t xml:space="preserve">26 </t>
  </si>
  <si>
    <t>FEDERAL</t>
  </si>
  <si>
    <t>RESULTATS</t>
  </si>
  <si>
    <t>QUALIFIEE CHAMPIONNAT DE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</si>
</sst>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imes New Roman"/>
      <family val="2"/>
    </font>
    <font>
      <sz val="10"/>
      <name val="Arial"/>
      <family val="2"/>
    </font>
    <font>
      <sz val="11"/>
      <color rgb="FFFF0000"/>
      <name val="Times New Roman"/>
      <family val="2"/>
    </font>
    <font>
      <sz val="12"/>
      <color theme="1"/>
      <name val="Times New Roman"/>
      <family val="2"/>
    </font>
    <font>
      <sz val="11"/>
      <color theme="0"/>
      <name val="Times New Roman"/>
      <family val="2"/>
    </font>
    <font>
      <sz val="16"/>
      <color theme="1"/>
      <name val="Times New Roman"/>
      <family val="2"/>
    </font>
    <font>
      <sz val="11"/>
      <name val="Times New Roman"/>
      <family val="2"/>
    </font>
    <font>
      <sz val="12"/>
      <color theme="0"/>
      <name val="Times New Roman"/>
      <family val="2"/>
    </font>
    <font>
      <sz val="16"/>
      <color rgb="FFFF0000"/>
      <name val="Times New Roman"/>
      <family val="2"/>
    </font>
    <font>
      <b/>
      <sz val="18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8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0" fillId="10" borderId="0" xfId="0" applyFill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0" fillId="10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7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2" xfId="0" quotePrefix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quotePrefix="1" applyFont="1" applyBorder="1" applyAlignment="1">
      <alignment horizontal="center" vertical="center" wrapText="1"/>
    </xf>
    <xf numFmtId="0" fontId="11" fillId="0" borderId="25" xfId="0" quotePrefix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6" xfId="0" quotePrefix="1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quotePrefix="1" applyFont="1" applyBorder="1" applyAlignment="1">
      <alignment horizontal="center" vertical="center"/>
    </xf>
    <xf numFmtId="0" fontId="14" fillId="0" borderId="21" xfId="0" quotePrefix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0" borderId="21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7">
    <dxf>
      <font>
        <b/>
        <i val="0"/>
        <color rgb="FFFF33CC"/>
      </font>
      <fill>
        <patternFill>
          <bgColor rgb="FF00FFFF"/>
        </patternFill>
      </fill>
    </dxf>
    <dxf>
      <font>
        <b/>
        <i val="0"/>
        <color rgb="FFFF33CC"/>
      </font>
      <fill>
        <patternFill>
          <bgColor rgb="FF00FF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5" tint="0.79998168889431442"/>
      </font>
      <fill>
        <patternFill>
          <bgColor theme="1" tint="0.24994659260841701"/>
        </patternFill>
      </fill>
    </dxf>
    <dxf>
      <font>
        <b/>
        <i val="0"/>
        <color rgb="FF002060"/>
      </font>
      <fill>
        <patternFill>
          <bgColor theme="7" tint="0.59996337778862885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 val="0"/>
        <i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 val="0"/>
        <i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00FFFF"/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.%20Q.4%20i&#232;me%20J.%20F3.F4%2016%20Eq.%20LE%20CHEYLARD%2024%20Mars%202024%20.OK.xlsx" TargetMode="External"/><Relationship Id="rId1" Type="http://schemas.openxmlformats.org/officeDocument/2006/relationships/externalLinkPath" Target="file:///D:\DOSSIER%20COMPLET%20QUALIF.F.3F.3\C.%20Q.4%20i&#232;me%20J.%20F3.F4%2016%20Eq.%20LE%20CHEYLARD%2024%20Mars%202024%20.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,J  3,F4 CHEYLARD 24.03.24"/>
      <sheetName val="Déroulé"/>
      <sheetName val="Liste Equipes_Tirage"/>
      <sheetName val="1A_G"/>
      <sheetName val="1A_F"/>
      <sheetName val="1A_Cl"/>
      <sheetName val="1A_C."/>
      <sheetName val="Feuil1"/>
    </sheetNames>
    <sheetDataSet>
      <sheetData sheetId="0"/>
      <sheetData sheetId="1"/>
      <sheetData sheetId="2"/>
      <sheetData sheetId="3"/>
      <sheetData sheetId="4">
        <row r="8">
          <cell r="I8">
            <v>2</v>
          </cell>
        </row>
        <row r="14">
          <cell r="D14">
            <v>4</v>
          </cell>
          <cell r="I14">
            <v>13</v>
          </cell>
        </row>
      </sheetData>
      <sheetData sheetId="5"/>
      <sheetData sheetId="6">
        <row r="28">
          <cell r="G28">
            <v>0</v>
          </cell>
          <cell r="I28">
            <v>0</v>
          </cell>
        </row>
        <row r="29">
          <cell r="E29">
            <v>0</v>
          </cell>
        </row>
        <row r="31">
          <cell r="E31">
            <v>2</v>
          </cell>
          <cell r="I31">
            <v>2</v>
          </cell>
          <cell r="Y31">
            <v>1</v>
          </cell>
        </row>
        <row r="43">
          <cell r="L43">
            <v>28</v>
          </cell>
        </row>
        <row r="65">
          <cell r="D65" t="str">
            <v>FRAISSE</v>
          </cell>
          <cell r="E65">
            <v>2</v>
          </cell>
          <cell r="I65" t="str">
            <v>CANCADE. J</v>
          </cell>
          <cell r="J65">
            <v>4</v>
          </cell>
          <cell r="N65" t="str">
            <v>CANCADE. J</v>
          </cell>
          <cell r="O65">
            <v>0</v>
          </cell>
        </row>
        <row r="66">
          <cell r="D66" t="str">
            <v>VAUX. V</v>
          </cell>
          <cell r="E66">
            <v>0</v>
          </cell>
          <cell r="I66" t="str">
            <v>CAPITAINE</v>
          </cell>
          <cell r="J66">
            <v>0</v>
          </cell>
          <cell r="N66" t="str">
            <v>MAIRE</v>
          </cell>
          <cell r="O66">
            <v>4</v>
          </cell>
        </row>
        <row r="67">
          <cell r="D67" t="str">
            <v>PERRIN</v>
          </cell>
          <cell r="E67">
            <v>2</v>
          </cell>
          <cell r="I67" t="str">
            <v>BLANC. L</v>
          </cell>
          <cell r="J67">
            <v>0</v>
          </cell>
        </row>
        <row r="68">
          <cell r="D68" t="str">
            <v>MONTERIMARD. G</v>
          </cell>
          <cell r="E68">
            <v>0</v>
          </cell>
          <cell r="I68" t="str">
            <v>MAIRE</v>
          </cell>
          <cell r="J68">
            <v>4</v>
          </cell>
        </row>
        <row r="69">
          <cell r="D69" t="str">
            <v>DALLOZ</v>
          </cell>
          <cell r="E69">
            <v>0</v>
          </cell>
        </row>
        <row r="70">
          <cell r="D70" t="str">
            <v>SOUCHE. F</v>
          </cell>
          <cell r="E70">
            <v>2</v>
          </cell>
        </row>
        <row r="71">
          <cell r="D71" t="str">
            <v>ROYER. D</v>
          </cell>
          <cell r="E71">
            <v>2</v>
          </cell>
        </row>
        <row r="72">
          <cell r="D72" t="str">
            <v>PERRET</v>
          </cell>
          <cell r="E7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19"/>
  <sheetViews>
    <sheetView workbookViewId="0">
      <selection activeCell="B21" sqref="B21"/>
    </sheetView>
  </sheetViews>
  <sheetFormatPr baseColWidth="10" defaultRowHeight="20.25" x14ac:dyDescent="0.3"/>
  <cols>
    <col min="1" max="1" width="11.42578125" style="14"/>
    <col min="2" max="2" width="14.42578125" style="14" customWidth="1"/>
    <col min="3" max="16384" width="11.42578125" style="14"/>
  </cols>
  <sheetData>
    <row r="1" spans="1:3" x14ac:dyDescent="0.3">
      <c r="A1" s="33" t="s">
        <v>25</v>
      </c>
    </row>
    <row r="3" spans="1:3" x14ac:dyDescent="0.3">
      <c r="A3" s="13"/>
    </row>
    <row r="4" spans="1:3" x14ac:dyDescent="0.3">
      <c r="A4" s="13">
        <v>1</v>
      </c>
      <c r="B4" s="14" t="s">
        <v>23</v>
      </c>
    </row>
    <row r="5" spans="1:3" x14ac:dyDescent="0.3">
      <c r="A5" s="13">
        <v>2</v>
      </c>
      <c r="B5" s="14" t="s">
        <v>24</v>
      </c>
    </row>
    <row r="6" spans="1:3" x14ac:dyDescent="0.3">
      <c r="A6" s="13">
        <v>3</v>
      </c>
      <c r="B6" s="14" t="s">
        <v>29</v>
      </c>
    </row>
    <row r="7" spans="1:3" x14ac:dyDescent="0.3">
      <c r="A7" s="13"/>
      <c r="C7" s="34" t="s">
        <v>28</v>
      </c>
    </row>
    <row r="8" spans="1:3" x14ac:dyDescent="0.3">
      <c r="A8" s="13">
        <v>4</v>
      </c>
      <c r="B8" s="14" t="s">
        <v>30</v>
      </c>
    </row>
    <row r="9" spans="1:3" x14ac:dyDescent="0.3">
      <c r="A9" s="13"/>
    </row>
    <row r="10" spans="1:3" x14ac:dyDescent="0.3">
      <c r="A10" s="13"/>
    </row>
    <row r="11" spans="1:3" x14ac:dyDescent="0.3">
      <c r="A11" s="13"/>
    </row>
    <row r="12" spans="1:3" x14ac:dyDescent="0.3">
      <c r="A12" s="13"/>
    </row>
    <row r="13" spans="1:3" x14ac:dyDescent="0.3">
      <c r="A13" s="13"/>
    </row>
    <row r="14" spans="1:3" x14ac:dyDescent="0.3">
      <c r="A14" s="13"/>
    </row>
    <row r="15" spans="1:3" x14ac:dyDescent="0.3">
      <c r="A15" s="13"/>
    </row>
    <row r="16" spans="1:3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Z101"/>
  <sheetViews>
    <sheetView tabSelected="1" view="pageBreakPreview" topLeftCell="P1" zoomScale="90" zoomScaleNormal="90" zoomScaleSheetLayoutView="90" workbookViewId="0">
      <selection activeCell="AB1" sqref="AB1:AS24"/>
    </sheetView>
  </sheetViews>
  <sheetFormatPr baseColWidth="10" defaultRowHeight="15" x14ac:dyDescent="0.25"/>
  <cols>
    <col min="1" max="1" width="5.28515625" style="1" customWidth="1"/>
    <col min="2" max="2" width="24.42578125" style="1" customWidth="1"/>
    <col min="3" max="3" width="6.28515625" style="1" customWidth="1"/>
    <col min="4" max="4" width="6.140625" style="1" customWidth="1"/>
    <col min="5" max="5" width="10.7109375" style="1" customWidth="1"/>
    <col min="6" max="6" width="14" style="1" customWidth="1"/>
    <col min="7" max="7" width="9.7109375" style="1" customWidth="1"/>
    <col min="8" max="8" width="7.140625" style="1" customWidth="1"/>
    <col min="9" max="9" width="6.140625" style="1" customWidth="1"/>
    <col min="10" max="10" width="10.7109375" style="1" customWidth="1"/>
    <col min="11" max="11" width="13.42578125" style="1" customWidth="1"/>
    <col min="12" max="12" width="6.85546875" style="1" customWidth="1"/>
    <col min="13" max="13" width="5.5703125" style="1" customWidth="1"/>
    <col min="14" max="14" width="7.85546875" style="1" customWidth="1"/>
    <col min="15" max="15" width="10.7109375" style="1" customWidth="1"/>
    <col min="16" max="16" width="12.7109375" style="1" customWidth="1"/>
    <col min="17" max="17" width="8.7109375" style="1" customWidth="1"/>
    <col min="18" max="18" width="5.85546875" style="1" customWidth="1"/>
    <col min="19" max="19" width="6.28515625" style="1" customWidth="1"/>
    <col min="20" max="20" width="9.28515625" style="1" customWidth="1"/>
    <col min="21" max="21" width="13" style="1" customWidth="1"/>
    <col min="22" max="22" width="7.85546875" style="1" customWidth="1"/>
    <col min="23" max="23" width="6.140625" style="1" customWidth="1"/>
    <col min="24" max="24" width="7.28515625" style="1" customWidth="1"/>
    <col min="25" max="25" width="10.140625" style="1" customWidth="1"/>
    <col min="26" max="26" width="13.28515625" style="1" customWidth="1"/>
    <col min="27" max="27" width="8.140625" style="1" customWidth="1"/>
    <col min="28" max="28" width="5.5703125" style="1" customWidth="1"/>
    <col min="29" max="31" width="11.42578125" style="1"/>
    <col min="32" max="32" width="12.7109375" style="1" customWidth="1"/>
    <col min="33" max="33" width="11.5703125" style="1" customWidth="1"/>
    <col min="34" max="34" width="16.5703125" style="1" hidden="1" customWidth="1"/>
    <col min="35" max="35" width="21.7109375" style="1" hidden="1" customWidth="1"/>
    <col min="36" max="36" width="4.28515625" style="1" customWidth="1"/>
    <col min="37" max="37" width="10.7109375" style="1" customWidth="1"/>
    <col min="38" max="38" width="26.7109375" style="1" customWidth="1"/>
    <col min="39" max="41" width="11.42578125" style="1"/>
    <col min="42" max="42" width="12.7109375" style="1" customWidth="1"/>
    <col min="43" max="43" width="11.7109375" style="1" customWidth="1"/>
    <col min="44" max="44" width="7.28515625" style="1" hidden="1" customWidth="1"/>
    <col min="45" max="45" width="39.28515625" style="1" customWidth="1"/>
    <col min="46" max="46" width="14.42578125" customWidth="1"/>
    <col min="47" max="47" width="21.5703125" customWidth="1"/>
    <col min="48" max="48" width="9" customWidth="1"/>
    <col min="49" max="49" width="8.42578125" customWidth="1"/>
    <col min="53" max="16384" width="11.42578125" style="1"/>
  </cols>
  <sheetData>
    <row r="1" spans="1:52" s="13" customFormat="1" ht="21" thickBot="1" x14ac:dyDescent="0.35">
      <c r="B1" s="116" t="s">
        <v>36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8"/>
      <c r="AB1" s="14"/>
      <c r="AK1" s="107" t="s">
        <v>91</v>
      </c>
      <c r="AL1" s="108"/>
      <c r="AM1" s="108"/>
      <c r="AN1" s="108"/>
      <c r="AO1" s="109"/>
      <c r="AP1" s="36"/>
      <c r="AT1"/>
      <c r="AU1"/>
      <c r="AV1"/>
      <c r="AW1"/>
      <c r="AX1"/>
      <c r="AY1"/>
      <c r="AZ1"/>
    </row>
    <row r="2" spans="1:52" ht="16.5" thickBot="1" x14ac:dyDescent="0.3">
      <c r="C2" s="57"/>
      <c r="D2" s="58"/>
      <c r="E2" s="58" t="s">
        <v>81</v>
      </c>
      <c r="F2" s="58"/>
      <c r="G2" s="59" t="s">
        <v>82</v>
      </c>
      <c r="H2" s="57" t="s">
        <v>78</v>
      </c>
      <c r="I2" s="58"/>
      <c r="J2" s="58" t="s">
        <v>79</v>
      </c>
      <c r="K2" s="58"/>
      <c r="L2" s="59" t="s">
        <v>83</v>
      </c>
      <c r="M2" s="57" t="s">
        <v>80</v>
      </c>
      <c r="N2" s="58"/>
      <c r="O2" s="58"/>
      <c r="P2" s="58"/>
      <c r="Q2" s="59" t="s">
        <v>84</v>
      </c>
      <c r="R2" s="110" t="s">
        <v>85</v>
      </c>
      <c r="S2" s="111"/>
      <c r="T2" s="111"/>
      <c r="U2" s="111"/>
      <c r="V2" s="112"/>
      <c r="W2" s="113" t="s">
        <v>77</v>
      </c>
      <c r="X2" s="114"/>
      <c r="Y2" s="114"/>
      <c r="Z2" s="114"/>
      <c r="AA2" s="115"/>
      <c r="AB2" s="11"/>
      <c r="AC2" s="110" t="s">
        <v>8</v>
      </c>
      <c r="AD2" s="111"/>
      <c r="AE2" s="111"/>
      <c r="AF2" s="111"/>
      <c r="AG2" s="112"/>
      <c r="AK2" s="5"/>
      <c r="AL2" s="5"/>
      <c r="AM2" s="5"/>
      <c r="AN2" s="5"/>
      <c r="AO2" s="5"/>
      <c r="AP2" s="5"/>
      <c r="AS2" s="103"/>
    </row>
    <row r="3" spans="1:52" ht="16.5" thickBot="1" x14ac:dyDescent="0.3">
      <c r="A3" s="50"/>
      <c r="B3" s="51" t="s">
        <v>0</v>
      </c>
      <c r="C3" s="52" t="s">
        <v>17</v>
      </c>
      <c r="D3" s="1" t="s">
        <v>18</v>
      </c>
      <c r="E3" s="52" t="s">
        <v>27</v>
      </c>
      <c r="F3" s="52" t="s">
        <v>31</v>
      </c>
      <c r="G3" s="52" t="s">
        <v>26</v>
      </c>
      <c r="H3" s="52" t="s">
        <v>17</v>
      </c>
      <c r="I3" s="1" t="s">
        <v>18</v>
      </c>
      <c r="J3" s="52" t="s">
        <v>27</v>
      </c>
      <c r="K3" s="52" t="s">
        <v>31</v>
      </c>
      <c r="L3" s="52" t="s">
        <v>26</v>
      </c>
      <c r="M3" s="52" t="s">
        <v>17</v>
      </c>
      <c r="N3" s="1" t="s">
        <v>18</v>
      </c>
      <c r="O3" s="52" t="s">
        <v>27</v>
      </c>
      <c r="P3" s="52" t="s">
        <v>31</v>
      </c>
      <c r="Q3" s="52" t="s">
        <v>26</v>
      </c>
      <c r="R3" s="52" t="s">
        <v>17</v>
      </c>
      <c r="S3" s="1" t="s">
        <v>18</v>
      </c>
      <c r="T3" s="52" t="s">
        <v>27</v>
      </c>
      <c r="U3" s="52" t="s">
        <v>31</v>
      </c>
      <c r="V3" s="52" t="s">
        <v>26</v>
      </c>
      <c r="W3" s="52" t="s">
        <v>17</v>
      </c>
      <c r="X3" s="1" t="s">
        <v>18</v>
      </c>
      <c r="Y3" s="52" t="s">
        <v>27</v>
      </c>
      <c r="Z3" s="52" t="s">
        <v>31</v>
      </c>
      <c r="AA3" s="52" t="s">
        <v>26</v>
      </c>
      <c r="AB3" s="12"/>
      <c r="AC3" s="16" t="s">
        <v>17</v>
      </c>
      <c r="AD3" s="17" t="s">
        <v>18</v>
      </c>
      <c r="AE3" s="28" t="s">
        <v>27</v>
      </c>
      <c r="AF3" s="37" t="s">
        <v>31</v>
      </c>
      <c r="AG3" s="18" t="s">
        <v>26</v>
      </c>
      <c r="AH3" s="7" t="s">
        <v>21</v>
      </c>
      <c r="AI3" s="7" t="s">
        <v>22</v>
      </c>
      <c r="AK3" s="6" t="s">
        <v>19</v>
      </c>
      <c r="AL3" s="40" t="s">
        <v>20</v>
      </c>
      <c r="AM3" s="41" t="s">
        <v>17</v>
      </c>
      <c r="AN3" s="42" t="s">
        <v>18</v>
      </c>
      <c r="AO3" s="43" t="s">
        <v>27</v>
      </c>
      <c r="AP3" s="37" t="s">
        <v>31</v>
      </c>
      <c r="AQ3" s="44" t="s">
        <v>26</v>
      </c>
      <c r="AS3" s="104" t="s">
        <v>94</v>
      </c>
    </row>
    <row r="4" spans="1:52" ht="15.75" x14ac:dyDescent="0.25">
      <c r="A4" s="53">
        <v>1</v>
      </c>
      <c r="B4" s="47" t="s">
        <v>37</v>
      </c>
      <c r="C4" s="54">
        <v>20</v>
      </c>
      <c r="D4" s="55">
        <v>9</v>
      </c>
      <c r="E4" s="55">
        <v>25</v>
      </c>
      <c r="F4" s="55">
        <v>16</v>
      </c>
      <c r="G4" s="56">
        <v>6</v>
      </c>
      <c r="H4" s="20">
        <v>18</v>
      </c>
      <c r="I4" s="20">
        <v>4</v>
      </c>
      <c r="J4" s="20">
        <v>28</v>
      </c>
      <c r="K4" s="20">
        <v>24</v>
      </c>
      <c r="L4" s="20">
        <v>6</v>
      </c>
      <c r="M4" s="19">
        <v>8</v>
      </c>
      <c r="N4" s="19">
        <v>18</v>
      </c>
      <c r="O4" s="19">
        <v>33</v>
      </c>
      <c r="P4" s="19">
        <v>15</v>
      </c>
      <c r="Q4" s="19">
        <v>4</v>
      </c>
      <c r="R4" s="19">
        <v>16</v>
      </c>
      <c r="S4" s="19">
        <v>16</v>
      </c>
      <c r="T4" s="19">
        <v>32</v>
      </c>
      <c r="U4" s="19">
        <v>16</v>
      </c>
      <c r="V4" s="19">
        <v>6</v>
      </c>
      <c r="W4" s="19">
        <v>10</v>
      </c>
      <c r="X4" s="19">
        <v>6</v>
      </c>
      <c r="Y4" s="19">
        <v>24</v>
      </c>
      <c r="Z4" s="19">
        <v>18</v>
      </c>
      <c r="AA4" s="19">
        <v>4</v>
      </c>
      <c r="AB4" s="15"/>
      <c r="AC4" s="22">
        <f t="shared" ref="AC4:AC19" si="0">SUMIFS($C4:$W4,$C$3:$W$3,"Pts",$C4:$W4,"&lt;&gt;#N/A")</f>
        <v>72</v>
      </c>
      <c r="AD4" s="21">
        <f t="shared" ref="AD4:AD19" si="1">SUMIFS($D4:$X4,$D$3:$X$3,"GA",$D4:$X4,"&lt;&gt;#N/A")</f>
        <v>53</v>
      </c>
      <c r="AE4" s="21">
        <f t="shared" ref="AE4:AE19" si="2">SUMIFS($E4:$Y4,$E$3:$Y$3,"Pts Faits",$E4:$Y4,"&lt;&gt;#N/A")</f>
        <v>142</v>
      </c>
      <c r="AF4" s="39">
        <f t="shared" ref="AF4:AF19" si="3">SUMIFS($F4:$Z4,$F$3:$Z$3,"Pts concédés",$F4:$Z4,"&lt;&gt;#N/A")</f>
        <v>89</v>
      </c>
      <c r="AG4" s="23">
        <f t="shared" ref="AG4:AG19" si="4">SUMIFS($G4:$AA4,$G$3:$AA$3,"Bonus",$G4:$AA4,"&lt;&gt;#N/A")</f>
        <v>26</v>
      </c>
      <c r="AH4" s="8">
        <f>IF(OR(B4="",AC4=""),"",RANK(AC4,$AC$4:$AC$20)+SUM(-AD4/1000)-(+AE4/10000)-(+AG4/100000)+COUNTIF(B$4:B$20,"&lt;="&amp;#REF!+1)/1000000+ROW()/100000000)</f>
        <v>1.9325400400000001</v>
      </c>
      <c r="AI4" s="8">
        <f>IF(AC4="","",SMALL(AH$4:AH$20,ROWS(AC4:AC$4)))</f>
        <v>0.92922005000000008</v>
      </c>
      <c r="AK4" s="97">
        <f>IF(AI4="","",1)</f>
        <v>1</v>
      </c>
      <c r="AL4" s="98" t="str">
        <f t="shared" ref="AL4:AL20" si="5">IF(OR(B4="",AC4=""),"",INDEX($B$4:$B$20,MATCH(AI4,$AH$4:$AH$20,0)))</f>
        <v>MAIRE.L</v>
      </c>
      <c r="AM4" s="98">
        <f t="shared" ref="AM4:AM20" si="6">IF(OR($B4="",$AC4=""),"",INDEX($AC$4:$AC$20,MATCH($AI4,$AH$4:$AH$20,0)))</f>
        <v>74</v>
      </c>
      <c r="AN4" s="98">
        <f t="shared" ref="AN4:AN20" si="7">IF(OR($B4="",$AD4=""),"",INDEX($AD$4:$AD$20,MATCH($AI4,$AH$4:$AH$20,0)))</f>
        <v>56</v>
      </c>
      <c r="AO4" s="98">
        <f t="shared" ref="AO4:AO20" si="8">IF(OR($B4="",$AE4=""),"",INDEX($AE$4:$AE$20,MATCH($AI4,$AH$4:$AH$20,0)))</f>
        <v>145</v>
      </c>
      <c r="AP4" s="98">
        <f t="shared" ref="AP4:AP20" si="9">IF(OR($B4="",$AF4=""),"",INDEX($AF$4:$AF$20,MATCH($AI4,$AH$4:$AH$20,0)))</f>
        <v>89</v>
      </c>
      <c r="AQ4" s="99">
        <v>28</v>
      </c>
      <c r="AR4" s="101"/>
      <c r="AS4" s="106" t="s">
        <v>95</v>
      </c>
    </row>
    <row r="5" spans="1:52" ht="15.75" x14ac:dyDescent="0.25">
      <c r="A5" s="45">
        <v>2</v>
      </c>
      <c r="B5" s="48" t="s">
        <v>38</v>
      </c>
      <c r="C5" s="27">
        <v>16</v>
      </c>
      <c r="D5" s="19">
        <v>28</v>
      </c>
      <c r="E5" s="19">
        <v>37</v>
      </c>
      <c r="F5" s="19">
        <v>9</v>
      </c>
      <c r="G5" s="26">
        <v>6</v>
      </c>
      <c r="H5" s="20">
        <v>10</v>
      </c>
      <c r="I5" s="20">
        <v>-3</v>
      </c>
      <c r="J5" s="20">
        <v>23</v>
      </c>
      <c r="K5" s="20">
        <v>26</v>
      </c>
      <c r="L5" s="20">
        <v>4</v>
      </c>
      <c r="M5" s="19">
        <v>18</v>
      </c>
      <c r="N5" s="19">
        <v>9</v>
      </c>
      <c r="O5" s="19">
        <v>26</v>
      </c>
      <c r="P5" s="19">
        <v>17</v>
      </c>
      <c r="Q5" s="19">
        <v>6</v>
      </c>
      <c r="R5" s="19">
        <v>20</v>
      </c>
      <c r="S5" s="19">
        <v>7</v>
      </c>
      <c r="T5" s="19">
        <v>28</v>
      </c>
      <c r="U5" s="19">
        <v>21</v>
      </c>
      <c r="V5" s="19">
        <v>6</v>
      </c>
      <c r="W5" s="19">
        <v>10</v>
      </c>
      <c r="X5" s="19">
        <v>15</v>
      </c>
      <c r="Y5" s="19">
        <v>31</v>
      </c>
      <c r="Z5" s="19">
        <v>16</v>
      </c>
      <c r="AA5" s="19">
        <v>6</v>
      </c>
      <c r="AB5" s="15"/>
      <c r="AC5" s="24">
        <f t="shared" si="0"/>
        <v>74</v>
      </c>
      <c r="AD5" s="20">
        <f t="shared" si="1"/>
        <v>56</v>
      </c>
      <c r="AE5" s="20">
        <f t="shared" si="2"/>
        <v>145</v>
      </c>
      <c r="AF5" s="39">
        <f t="shared" si="3"/>
        <v>89</v>
      </c>
      <c r="AG5" s="25">
        <f t="shared" si="4"/>
        <v>28</v>
      </c>
      <c r="AH5" s="8">
        <f>IF(OR(B5="",AC5=""),"",RANK(AC5,$AC$4:$AC$20)+SUM(-AD5/1000)-(+AE5/10000)-(+AG5/100000)+COUNTIF(B$4:B$20,"&lt;="&amp;#REF!+1)/1000000+ROW()/100000000)</f>
        <v>0.92922005000000008</v>
      </c>
      <c r="AI5" s="8">
        <f>IF(AC5="","",SMALL(AH$4:AH$20,ROWS(AC$4:AC5)))</f>
        <v>1.9325400400000001</v>
      </c>
      <c r="AK5" s="100">
        <v>2</v>
      </c>
      <c r="AL5" s="98" t="str">
        <f t="shared" si="5"/>
        <v>CANCADE. J</v>
      </c>
      <c r="AM5" s="98">
        <f t="shared" si="6"/>
        <v>72</v>
      </c>
      <c r="AN5" s="98">
        <f t="shared" si="7"/>
        <v>53</v>
      </c>
      <c r="AO5" s="98">
        <f t="shared" si="8"/>
        <v>142</v>
      </c>
      <c r="AP5" s="98">
        <f t="shared" si="9"/>
        <v>89</v>
      </c>
      <c r="AQ5" s="99" t="s">
        <v>92</v>
      </c>
      <c r="AR5" s="101"/>
      <c r="AS5" s="106" t="s">
        <v>95</v>
      </c>
    </row>
    <row r="6" spans="1:52" ht="15.75" x14ac:dyDescent="0.25">
      <c r="A6" s="45">
        <v>3</v>
      </c>
      <c r="B6" s="48" t="s">
        <v>39</v>
      </c>
      <c r="C6" s="27">
        <v>12</v>
      </c>
      <c r="D6" s="19">
        <v>17</v>
      </c>
      <c r="E6" s="19">
        <v>35</v>
      </c>
      <c r="F6" s="19">
        <v>18</v>
      </c>
      <c r="G6" s="26">
        <v>6</v>
      </c>
      <c r="H6" s="20">
        <v>12</v>
      </c>
      <c r="I6" s="20">
        <v>20</v>
      </c>
      <c r="J6" s="20">
        <v>36</v>
      </c>
      <c r="K6" s="20">
        <v>16</v>
      </c>
      <c r="L6" s="20">
        <v>6</v>
      </c>
      <c r="M6" s="19">
        <v>0</v>
      </c>
      <c r="N6" s="19">
        <v>-17</v>
      </c>
      <c r="O6" s="19">
        <v>19</v>
      </c>
      <c r="P6" s="19">
        <v>36</v>
      </c>
      <c r="Q6" s="19">
        <v>0</v>
      </c>
      <c r="R6" s="19">
        <f>IF(ISNA(VLOOKUP($B6,'4J'!$B$1:$O$200,14,0))," ",VLOOKUP($B6,'4J'!$B$1:R$200,14,0))</f>
        <v>10</v>
      </c>
      <c r="S6" s="19">
        <f>IF(ISNA(VLOOKUP($B6,'4J'!$B$1:$P$200,8,0))," ",VLOOKUP($B6,'4J'!$B$1:$P$200,8,0))</f>
        <v>12</v>
      </c>
      <c r="T6" s="19">
        <f>IF(ISNA(VLOOKUP($B6,'4J'!$B$1:$P$200,6,0))," ",VLOOKUP($B6,'4J'!$B$1:$P$200,6,0))</f>
        <v>29</v>
      </c>
      <c r="U6" s="19">
        <f>IF(ISNA(VLOOKUP($B6,'4J'!$B$1:$P$200,7,0))," ",VLOOKUP($B6,'4J'!$B$1:$P$200,7,0))</f>
        <v>17</v>
      </c>
      <c r="V6" s="19">
        <f>IF(ISNA(VLOOKUP($B6,'4J'!$B$1:$P$200,10,0))," ",VLOOKUP($B6,'4J'!$B$1:$P$200,10,0))</f>
        <v>4</v>
      </c>
      <c r="W6" s="19">
        <v>12</v>
      </c>
      <c r="X6" s="19">
        <v>21</v>
      </c>
      <c r="Y6" s="19">
        <v>36</v>
      </c>
      <c r="Z6" s="19">
        <v>15</v>
      </c>
      <c r="AA6" s="19">
        <v>6</v>
      </c>
      <c r="AB6" s="15"/>
      <c r="AC6" s="24">
        <f t="shared" si="0"/>
        <v>46</v>
      </c>
      <c r="AD6" s="20">
        <f t="shared" si="1"/>
        <v>53</v>
      </c>
      <c r="AE6" s="20">
        <f t="shared" si="2"/>
        <v>155</v>
      </c>
      <c r="AF6" s="39">
        <f t="shared" si="3"/>
        <v>102</v>
      </c>
      <c r="AG6" s="25">
        <f t="shared" si="4"/>
        <v>22</v>
      </c>
      <c r="AH6" s="8">
        <f>IF(OR(B6="",AC6=""),"",RANK(AC6,$AC$4:$AC$20)+SUM(-AD6/1000)-(+AE6/10000)-(+AG6/100000)+COUNTIF(B$4:B$20,"&lt;="&amp;B20+1)/1000000+ROW()/100000000)</f>
        <v>2.9312810600000003</v>
      </c>
      <c r="AI6" s="8">
        <f>IF(AC6="","",SMALL(AH$4:AH$20,ROWS(AC$4:AC6)))</f>
        <v>2.9312810600000003</v>
      </c>
      <c r="AK6" s="93">
        <v>3</v>
      </c>
      <c r="AL6" s="94" t="str">
        <f t="shared" si="5"/>
        <v>SOUCHE. F</v>
      </c>
      <c r="AM6" s="94">
        <f t="shared" si="6"/>
        <v>46</v>
      </c>
      <c r="AN6" s="94">
        <f t="shared" si="7"/>
        <v>53</v>
      </c>
      <c r="AO6" s="94">
        <f t="shared" si="8"/>
        <v>155</v>
      </c>
      <c r="AP6" s="94">
        <f t="shared" si="9"/>
        <v>102</v>
      </c>
      <c r="AQ6" s="95">
        <f t="shared" ref="AQ6:AQ20" si="10">IF(OR($B6="",$AG6=""),"",INDEX($AG$4:$AG$20,MATCH($AI6,$AH$4:$AH$20,0)))</f>
        <v>22</v>
      </c>
      <c r="AR6" s="102"/>
      <c r="AS6" s="105" t="s">
        <v>93</v>
      </c>
    </row>
    <row r="7" spans="1:52" ht="15.75" x14ac:dyDescent="0.25">
      <c r="A7" s="45">
        <v>4</v>
      </c>
      <c r="B7" s="48" t="s">
        <v>40</v>
      </c>
      <c r="C7" s="27">
        <v>10</v>
      </c>
      <c r="D7" s="19">
        <v>11</v>
      </c>
      <c r="E7" s="19">
        <v>23</v>
      </c>
      <c r="F7" s="19">
        <v>12</v>
      </c>
      <c r="G7" s="26">
        <v>4</v>
      </c>
      <c r="H7" s="20">
        <v>6</v>
      </c>
      <c r="I7" s="20">
        <v>-1</v>
      </c>
      <c r="J7" s="20">
        <v>27</v>
      </c>
      <c r="K7" s="20">
        <v>28</v>
      </c>
      <c r="L7" s="20">
        <v>2</v>
      </c>
      <c r="M7" s="19">
        <v>10</v>
      </c>
      <c r="N7" s="19">
        <v>2</v>
      </c>
      <c r="O7" s="19">
        <v>26</v>
      </c>
      <c r="P7" s="19">
        <v>24</v>
      </c>
      <c r="Q7" s="19">
        <v>4</v>
      </c>
      <c r="R7" s="19">
        <f>IF(ISNA(VLOOKUP($B7,'4J'!$B$1:$O$200,14,0))," ",VLOOKUP($B7,'4J'!$B$1:R$200,14,0))</f>
        <v>12</v>
      </c>
      <c r="S7" s="19">
        <f>IF(ISNA(VLOOKUP($B7,'4J'!$B$1:$P$200,8,0))," ",VLOOKUP($B7,'4J'!$B$1:$P$200,8,0))</f>
        <v>7</v>
      </c>
      <c r="T7" s="19">
        <f>IF(ISNA(VLOOKUP($B7,'4J'!$B$1:$P$200,6,0))," ",VLOOKUP($B7,'4J'!$B$1:$P$200,6,0))</f>
        <v>25</v>
      </c>
      <c r="U7" s="19">
        <f>IF(ISNA(VLOOKUP($B7,'4J'!$B$1:$P$200,7,0))," ",VLOOKUP($B7,'4J'!$B$1:$P$200,7,0))</f>
        <v>18</v>
      </c>
      <c r="V7" s="19">
        <f>IF(ISNA(VLOOKUP($B7,'4J'!$B$1:$P$200,10,0))," ",VLOOKUP($B7,'4J'!$B$1:$P$200,10,0))</f>
        <v>6</v>
      </c>
      <c r="W7" s="19">
        <v>2</v>
      </c>
      <c r="X7" s="19">
        <v>-16</v>
      </c>
      <c r="Y7" s="19">
        <v>15</v>
      </c>
      <c r="Z7" s="19">
        <v>31</v>
      </c>
      <c r="AA7" s="19">
        <v>0</v>
      </c>
      <c r="AB7" s="15"/>
      <c r="AC7" s="24">
        <f t="shared" si="0"/>
        <v>40</v>
      </c>
      <c r="AD7" s="20">
        <f t="shared" si="1"/>
        <v>3</v>
      </c>
      <c r="AE7" s="20">
        <f t="shared" si="2"/>
        <v>116</v>
      </c>
      <c r="AF7" s="39">
        <f t="shared" si="3"/>
        <v>113</v>
      </c>
      <c r="AG7" s="25">
        <f t="shared" si="4"/>
        <v>16</v>
      </c>
      <c r="AH7" s="8">
        <f>IF(OR(B7="",AC7=""),"",RANK(AC7,$AC$4:$AC$20)+SUM(-AD7/1000)-(+AE7/10000)-(+AG7/100000)+COUNTIF(B$4:B$20,"&lt;="&amp;#REF!+1)/1000000+ROW()/100000000)</f>
        <v>4.9852400699999997</v>
      </c>
      <c r="AI7" s="8">
        <f>IF(AC7="","",SMALL(AH$4:AH$20,ROWS(AC$4:AC7)))</f>
        <v>3.9577401399999999</v>
      </c>
      <c r="AK7" s="93">
        <f>IF(AL7="","",IF(AND(AM6=AM7,AN6=AN7,AO6=AO7,AP6=AP7,AQ6+AQ7),AK6,$AK$4+3))</f>
        <v>4</v>
      </c>
      <c r="AL7" s="94" t="str">
        <f t="shared" si="5"/>
        <v>MONTERIMARD. G</v>
      </c>
      <c r="AM7" s="94">
        <f t="shared" si="6"/>
        <v>44</v>
      </c>
      <c r="AN7" s="94">
        <f t="shared" si="7"/>
        <v>28</v>
      </c>
      <c r="AO7" s="94">
        <f t="shared" si="8"/>
        <v>141</v>
      </c>
      <c r="AP7" s="94">
        <f t="shared" si="9"/>
        <v>101</v>
      </c>
      <c r="AQ7" s="95">
        <f t="shared" si="10"/>
        <v>16</v>
      </c>
      <c r="AR7" s="102"/>
      <c r="AS7" s="105" t="s">
        <v>93</v>
      </c>
    </row>
    <row r="8" spans="1:52" ht="15.75" x14ac:dyDescent="0.25">
      <c r="A8" s="45">
        <v>5</v>
      </c>
      <c r="B8" s="48" t="s">
        <v>41</v>
      </c>
      <c r="C8" s="27">
        <v>10</v>
      </c>
      <c r="D8" s="19">
        <v>2</v>
      </c>
      <c r="E8" s="19">
        <v>27</v>
      </c>
      <c r="F8" s="19">
        <v>25</v>
      </c>
      <c r="G8" s="26">
        <v>4</v>
      </c>
      <c r="H8" s="20">
        <v>8</v>
      </c>
      <c r="I8" s="20">
        <v>-4</v>
      </c>
      <c r="J8" s="20">
        <v>25</v>
      </c>
      <c r="K8" s="20">
        <v>29</v>
      </c>
      <c r="L8" s="20">
        <v>4</v>
      </c>
      <c r="M8" s="19">
        <v>6</v>
      </c>
      <c r="N8" s="19">
        <v>-4</v>
      </c>
      <c r="O8" s="19">
        <v>20</v>
      </c>
      <c r="P8" s="19">
        <v>24</v>
      </c>
      <c r="Q8" s="19">
        <v>2</v>
      </c>
      <c r="R8" s="19">
        <v>0</v>
      </c>
      <c r="S8" s="19">
        <v>-16</v>
      </c>
      <c r="T8" s="19">
        <v>14</v>
      </c>
      <c r="U8" s="19">
        <v>30</v>
      </c>
      <c r="V8" s="19">
        <v>0</v>
      </c>
      <c r="W8" s="19">
        <v>16</v>
      </c>
      <c r="X8" s="19">
        <v>21</v>
      </c>
      <c r="Y8" s="19">
        <v>39</v>
      </c>
      <c r="Z8" s="19">
        <v>18</v>
      </c>
      <c r="AA8" s="19">
        <v>6</v>
      </c>
      <c r="AB8" s="15"/>
      <c r="AC8" s="24">
        <f t="shared" si="0"/>
        <v>40</v>
      </c>
      <c r="AD8" s="20">
        <f t="shared" si="1"/>
        <v>-1</v>
      </c>
      <c r="AE8" s="20">
        <f t="shared" si="2"/>
        <v>125</v>
      </c>
      <c r="AF8" s="39">
        <f t="shared" si="3"/>
        <v>126</v>
      </c>
      <c r="AG8" s="25">
        <f t="shared" si="4"/>
        <v>16</v>
      </c>
      <c r="AH8" s="8">
        <f>IF(OR(B8="",AC8=""),"",RANK(AC8,$AC$4:$AC$20)+SUM(-AD8/1000)-(+AE8/10000)-(+AG8/100000)+COUNTIF(B$4:B$20,"&lt;="&amp;#REF!+1)/1000000+ROW()/100000000)</f>
        <v>4.9883400800000004</v>
      </c>
      <c r="AI8" s="8">
        <f>IF(AC8="","",SMALL(AH$4:AH$20,ROWS(AC$4:AC8)))</f>
        <v>4.9852400699999997</v>
      </c>
      <c r="AK8" s="93">
        <f>IF(AL8="","",IF(AND(AM7=AM8,AN7=AN8,AO7=AO8,AP7=AP8,AQ7+AQ8),AK7,$AK$4+4))</f>
        <v>5</v>
      </c>
      <c r="AL8" s="94" t="str">
        <f t="shared" si="5"/>
        <v>BLANC. L</v>
      </c>
      <c r="AM8" s="94">
        <f t="shared" si="6"/>
        <v>40</v>
      </c>
      <c r="AN8" s="94">
        <f t="shared" si="7"/>
        <v>3</v>
      </c>
      <c r="AO8" s="94">
        <f t="shared" si="8"/>
        <v>116</v>
      </c>
      <c r="AP8" s="94">
        <f t="shared" si="9"/>
        <v>113</v>
      </c>
      <c r="AQ8" s="95">
        <f t="shared" si="10"/>
        <v>16</v>
      </c>
      <c r="AR8" s="102"/>
      <c r="AS8" s="105" t="s">
        <v>93</v>
      </c>
    </row>
    <row r="9" spans="1:52" ht="15.75" x14ac:dyDescent="0.25">
      <c r="A9" s="45">
        <v>6</v>
      </c>
      <c r="B9" s="48" t="s">
        <v>42</v>
      </c>
      <c r="C9" s="27">
        <v>10</v>
      </c>
      <c r="D9" s="19">
        <v>-2</v>
      </c>
      <c r="E9" s="19">
        <v>18</v>
      </c>
      <c r="F9" s="19">
        <v>20</v>
      </c>
      <c r="G9" s="26">
        <v>6</v>
      </c>
      <c r="H9" s="20">
        <v>0</v>
      </c>
      <c r="I9" s="20">
        <v>-12</v>
      </c>
      <c r="J9" s="20">
        <v>14</v>
      </c>
      <c r="K9" s="20">
        <v>26</v>
      </c>
      <c r="L9" s="20">
        <v>0</v>
      </c>
      <c r="M9" s="19">
        <v>0</v>
      </c>
      <c r="N9" s="19">
        <v>-6</v>
      </c>
      <c r="O9" s="19">
        <v>18</v>
      </c>
      <c r="P9" s="19">
        <v>24</v>
      </c>
      <c r="Q9" s="19">
        <v>0</v>
      </c>
      <c r="R9" s="19">
        <v>10</v>
      </c>
      <c r="S9" s="19">
        <v>5</v>
      </c>
      <c r="T9" s="19">
        <v>27</v>
      </c>
      <c r="U9" s="19">
        <v>22</v>
      </c>
      <c r="V9" s="19">
        <v>4</v>
      </c>
      <c r="W9" s="19">
        <v>4</v>
      </c>
      <c r="X9" s="19">
        <v>0</v>
      </c>
      <c r="Y9" s="19">
        <v>26</v>
      </c>
      <c r="Z9" s="19">
        <v>26</v>
      </c>
      <c r="AA9" s="19">
        <v>2</v>
      </c>
      <c r="AB9" s="15"/>
      <c r="AC9" s="24">
        <f t="shared" si="0"/>
        <v>24</v>
      </c>
      <c r="AD9" s="20">
        <f t="shared" si="1"/>
        <v>-15</v>
      </c>
      <c r="AE9" s="20">
        <f t="shared" si="2"/>
        <v>103</v>
      </c>
      <c r="AF9" s="39">
        <f t="shared" si="3"/>
        <v>118</v>
      </c>
      <c r="AG9" s="25">
        <f t="shared" si="4"/>
        <v>12</v>
      </c>
      <c r="AH9" s="8">
        <f>IF(OR(B9="",AC9=""),"",RANK(AC9,$AC$4:$AC$20)+SUM(-AD9/1000)-(+AE9/10000)-(+AG9/100000)+COUNTIF(B$4:B$20,"&lt;="&amp;#REF!+1)/1000000+ROW()/100000000)</f>
        <v>11.004580089999999</v>
      </c>
      <c r="AI9" s="8">
        <f>IF(AC9="","",SMALL(AH$4:AH$20,ROWS(AC$4:AC9)))</f>
        <v>4.9883400800000004</v>
      </c>
      <c r="AK9" s="93">
        <f>IF(AL9="","",IF(AND(AM8=AM9,AN8=AN9,AO8=AO9,AP8=AP9,AQ8+AQ9),AK8,$AK$4+5))</f>
        <v>6</v>
      </c>
      <c r="AL9" s="94" t="str">
        <f t="shared" si="5"/>
        <v>PLENET. O</v>
      </c>
      <c r="AM9" s="94">
        <f t="shared" si="6"/>
        <v>40</v>
      </c>
      <c r="AN9" s="94">
        <f t="shared" si="7"/>
        <v>-1</v>
      </c>
      <c r="AO9" s="94">
        <f t="shared" si="8"/>
        <v>125</v>
      </c>
      <c r="AP9" s="94">
        <f t="shared" si="9"/>
        <v>126</v>
      </c>
      <c r="AQ9" s="95">
        <f t="shared" si="10"/>
        <v>16</v>
      </c>
      <c r="AR9" s="102"/>
      <c r="AS9" s="105" t="s">
        <v>93</v>
      </c>
    </row>
    <row r="10" spans="1:52" ht="15.75" x14ac:dyDescent="0.25">
      <c r="A10" s="45">
        <v>7</v>
      </c>
      <c r="B10" s="48" t="s">
        <v>43</v>
      </c>
      <c r="C10" s="27">
        <v>8</v>
      </c>
      <c r="D10" s="19">
        <v>3</v>
      </c>
      <c r="E10" s="19">
        <v>27</v>
      </c>
      <c r="F10" s="19">
        <v>24</v>
      </c>
      <c r="G10" s="26">
        <v>4</v>
      </c>
      <c r="H10" s="20">
        <v>2</v>
      </c>
      <c r="I10" s="20">
        <v>-5</v>
      </c>
      <c r="J10" s="20">
        <v>27</v>
      </c>
      <c r="K10" s="20">
        <v>32</v>
      </c>
      <c r="L10" s="20">
        <v>0</v>
      </c>
      <c r="M10" s="19">
        <v>16</v>
      </c>
      <c r="N10" s="19">
        <v>15</v>
      </c>
      <c r="O10" s="19">
        <v>33</v>
      </c>
      <c r="P10" s="19">
        <v>18</v>
      </c>
      <c r="Q10" s="19">
        <v>6</v>
      </c>
      <c r="R10" s="19">
        <v>8</v>
      </c>
      <c r="S10" s="19">
        <v>-2</v>
      </c>
      <c r="T10" s="19">
        <v>22</v>
      </c>
      <c r="U10" s="19">
        <v>24</v>
      </c>
      <c r="V10" s="19">
        <v>4</v>
      </c>
      <c r="W10" s="19">
        <v>4</v>
      </c>
      <c r="X10" s="19">
        <v>-3</v>
      </c>
      <c r="Y10" s="19">
        <v>23</v>
      </c>
      <c r="Z10" s="19">
        <v>26</v>
      </c>
      <c r="AA10" s="19">
        <v>2</v>
      </c>
      <c r="AB10" s="15"/>
      <c r="AC10" s="24">
        <f t="shared" si="0"/>
        <v>38</v>
      </c>
      <c r="AD10" s="20">
        <f t="shared" si="1"/>
        <v>8</v>
      </c>
      <c r="AE10" s="20">
        <f t="shared" si="2"/>
        <v>132</v>
      </c>
      <c r="AF10" s="39">
        <f t="shared" si="3"/>
        <v>124</v>
      </c>
      <c r="AG10" s="25">
        <f t="shared" si="4"/>
        <v>16</v>
      </c>
      <c r="AH10" s="8">
        <f>IF(OR(B10="",AC10=""),"",RANK(AC10,$AC$4:$AC$20)+SUM(-AD10/1000)-(+AE10/10000)-(+AG10/100000)+COUNTIF(B$4:B$20,"&lt;="&amp;#REF!+1)/1000000+ROW()/100000000)</f>
        <v>6.9786400999999998</v>
      </c>
      <c r="AI10" s="8">
        <f>IF(AC10="","",SMALL(AH$4:AH$20,ROWS(AC$4:AC10)))</f>
        <v>6.9745201100000003</v>
      </c>
      <c r="AK10" s="93">
        <f>IF(AL10="","",IF(AND(AM9=AM10,AN9=AN10,AO9=AO10,AP9=AP10,AQ9+AQ10),AK9,$AK$4+6))</f>
        <v>7</v>
      </c>
      <c r="AL10" s="94" t="str">
        <f t="shared" si="5"/>
        <v>CAPITAINE. S</v>
      </c>
      <c r="AM10" s="94">
        <f t="shared" si="6"/>
        <v>38</v>
      </c>
      <c r="AN10" s="94">
        <f t="shared" si="7"/>
        <v>13</v>
      </c>
      <c r="AO10" s="94">
        <f t="shared" si="8"/>
        <v>123</v>
      </c>
      <c r="AP10" s="94">
        <f t="shared" si="9"/>
        <v>110</v>
      </c>
      <c r="AQ10" s="95">
        <f t="shared" si="10"/>
        <v>18</v>
      </c>
      <c r="AR10" s="102"/>
      <c r="AS10" s="105" t="s">
        <v>93</v>
      </c>
    </row>
    <row r="11" spans="1:52" ht="15.75" x14ac:dyDescent="0.25">
      <c r="A11" s="45">
        <v>8</v>
      </c>
      <c r="B11" s="48" t="s">
        <v>44</v>
      </c>
      <c r="C11" s="27">
        <v>8</v>
      </c>
      <c r="D11" s="19">
        <v>-1</v>
      </c>
      <c r="E11" s="19">
        <v>22</v>
      </c>
      <c r="F11" s="19">
        <v>23</v>
      </c>
      <c r="G11" s="26">
        <v>4</v>
      </c>
      <c r="H11" s="20">
        <v>2</v>
      </c>
      <c r="I11" s="20">
        <v>-10</v>
      </c>
      <c r="J11" s="20">
        <v>19</v>
      </c>
      <c r="K11" s="20">
        <v>29</v>
      </c>
      <c r="L11" s="20">
        <v>0</v>
      </c>
      <c r="M11" s="19">
        <v>8</v>
      </c>
      <c r="N11" s="19">
        <v>-2</v>
      </c>
      <c r="O11" s="19">
        <v>21</v>
      </c>
      <c r="P11" s="19">
        <v>23</v>
      </c>
      <c r="Q11" s="19">
        <v>4</v>
      </c>
      <c r="R11" s="19">
        <v>10</v>
      </c>
      <c r="S11" s="19">
        <v>14</v>
      </c>
      <c r="T11" s="19">
        <v>29</v>
      </c>
      <c r="U11" s="19">
        <v>15</v>
      </c>
      <c r="V11" s="19">
        <v>6</v>
      </c>
      <c r="W11" s="19">
        <v>10</v>
      </c>
      <c r="X11" s="19">
        <v>12</v>
      </c>
      <c r="Y11" s="19">
        <v>32</v>
      </c>
      <c r="Z11" s="19">
        <v>20</v>
      </c>
      <c r="AA11" s="19">
        <v>4</v>
      </c>
      <c r="AB11" s="15"/>
      <c r="AC11" s="24">
        <f t="shared" si="0"/>
        <v>38</v>
      </c>
      <c r="AD11" s="20">
        <f t="shared" si="1"/>
        <v>13</v>
      </c>
      <c r="AE11" s="20">
        <f t="shared" si="2"/>
        <v>123</v>
      </c>
      <c r="AF11" s="39">
        <f t="shared" si="3"/>
        <v>110</v>
      </c>
      <c r="AG11" s="25">
        <f t="shared" si="4"/>
        <v>18</v>
      </c>
      <c r="AH11" s="8">
        <f>IF(OR(B11="",AC11=""),"",RANK(AC11,$AC$4:$AC$20)+SUM(-AD11/1000)-(+AE11/10000)-(+AG11/100000)+COUNTIF(B$4:B$20,"&lt;="&amp;#REF!+1)/1000000+ROW()/100000000)</f>
        <v>6.9745201100000003</v>
      </c>
      <c r="AI11" s="8">
        <f>IF(AC11="","",SMALL(AH$4:AH$20,ROWS(AC$4:AC11)))</f>
        <v>6.9760401699999992</v>
      </c>
      <c r="AK11" s="93">
        <f>IF(AL11="","",IF(AND(AM10=AM11,AN10=AN11,AO10=AO11,AP10=AP11,AQ10+AQ11),AK10,$AK$4+7))</f>
        <v>8</v>
      </c>
      <c r="AL11" s="94" t="str">
        <f t="shared" si="5"/>
        <v>PERRIN. J</v>
      </c>
      <c r="AM11" s="94">
        <f t="shared" si="6"/>
        <v>38</v>
      </c>
      <c r="AN11" s="94">
        <f t="shared" si="7"/>
        <v>11</v>
      </c>
      <c r="AO11" s="94">
        <f t="shared" si="8"/>
        <v>128</v>
      </c>
      <c r="AP11" s="94">
        <f t="shared" si="9"/>
        <v>117</v>
      </c>
      <c r="AQ11" s="95">
        <f t="shared" si="10"/>
        <v>16</v>
      </c>
      <c r="AR11" s="102"/>
      <c r="AS11" s="105" t="s">
        <v>93</v>
      </c>
    </row>
    <row r="12" spans="1:52" ht="15.75" x14ac:dyDescent="0.25">
      <c r="A12" s="45">
        <v>9</v>
      </c>
      <c r="B12" s="48" t="s">
        <v>45</v>
      </c>
      <c r="C12" s="27">
        <v>6</v>
      </c>
      <c r="D12" s="19">
        <v>5</v>
      </c>
      <c r="E12" s="19">
        <v>24</v>
      </c>
      <c r="F12" s="19">
        <v>19</v>
      </c>
      <c r="G12" s="26">
        <v>2</v>
      </c>
      <c r="H12" s="20">
        <v>10</v>
      </c>
      <c r="I12" s="20">
        <v>6</v>
      </c>
      <c r="J12" s="20">
        <v>24</v>
      </c>
      <c r="K12" s="20">
        <v>18</v>
      </c>
      <c r="L12" s="20">
        <v>6</v>
      </c>
      <c r="M12" s="19">
        <v>4</v>
      </c>
      <c r="N12" s="19">
        <v>-17</v>
      </c>
      <c r="O12" s="19">
        <v>16</v>
      </c>
      <c r="P12" s="19">
        <v>33</v>
      </c>
      <c r="Q12" s="19">
        <v>2</v>
      </c>
      <c r="R12" s="19">
        <v>0</v>
      </c>
      <c r="S12" s="19">
        <v>-13</v>
      </c>
      <c r="T12" s="19">
        <v>17</v>
      </c>
      <c r="U12" s="19">
        <v>30</v>
      </c>
      <c r="V12" s="19">
        <v>0</v>
      </c>
      <c r="W12" s="19">
        <v>4</v>
      </c>
      <c r="X12" s="19">
        <v>-15</v>
      </c>
      <c r="Y12" s="19">
        <v>18</v>
      </c>
      <c r="Z12" s="19">
        <v>33</v>
      </c>
      <c r="AA12" s="19">
        <v>2</v>
      </c>
      <c r="AB12" s="15"/>
      <c r="AC12" s="24">
        <f t="shared" si="0"/>
        <v>24</v>
      </c>
      <c r="AD12" s="20">
        <f t="shared" si="1"/>
        <v>-34</v>
      </c>
      <c r="AE12" s="20">
        <f t="shared" si="2"/>
        <v>99</v>
      </c>
      <c r="AF12" s="39">
        <f t="shared" si="3"/>
        <v>133</v>
      </c>
      <c r="AG12" s="25">
        <f t="shared" si="4"/>
        <v>12</v>
      </c>
      <c r="AH12" s="8">
        <f>IF(OR(B12="",AC12=""),"",RANK(AC12,$AC$4:$AC$20)+SUM(-AD12/1000)-(+AE12/10000)-(+AG12/100000)+COUNTIF(B$4:B$20,"&lt;="&amp;#REF!+1)/1000000+ROW()/100000000)</f>
        <v>11.023980119999999</v>
      </c>
      <c r="AI12" s="8">
        <f>IF(AC12="","",SMALL(AH$4:AH$20,ROWS(AC$4:AC12)))</f>
        <v>6.9786400999999998</v>
      </c>
      <c r="AK12" s="93">
        <f>IF(AL12="","",IF(AND(AM11=AM12,AN11=AN12,AO11=AO12,AP11=AP12,AQ11+AQ12),AK11,$AK$4+8))</f>
        <v>9</v>
      </c>
      <c r="AL12" s="94" t="str">
        <f t="shared" si="5"/>
        <v>PEYRET. A</v>
      </c>
      <c r="AM12" s="94">
        <f t="shared" si="6"/>
        <v>38</v>
      </c>
      <c r="AN12" s="94">
        <f t="shared" si="7"/>
        <v>8</v>
      </c>
      <c r="AO12" s="94">
        <f t="shared" si="8"/>
        <v>132</v>
      </c>
      <c r="AP12" s="94">
        <f t="shared" si="9"/>
        <v>124</v>
      </c>
      <c r="AQ12" s="95">
        <f t="shared" si="10"/>
        <v>16</v>
      </c>
      <c r="AR12" s="102"/>
      <c r="AS12" s="105" t="s">
        <v>93</v>
      </c>
    </row>
    <row r="13" spans="1:52" ht="15.75" x14ac:dyDescent="0.25">
      <c r="A13" s="45">
        <v>10</v>
      </c>
      <c r="B13" s="48" t="s">
        <v>46</v>
      </c>
      <c r="C13" s="27">
        <v>4</v>
      </c>
      <c r="D13" s="19">
        <v>-12</v>
      </c>
      <c r="E13" s="19">
        <v>15</v>
      </c>
      <c r="F13" s="19">
        <v>27</v>
      </c>
      <c r="G13" s="26">
        <v>2</v>
      </c>
      <c r="H13" s="20">
        <v>2</v>
      </c>
      <c r="I13" s="20">
        <v>-3</v>
      </c>
      <c r="J13" s="20">
        <v>23</v>
      </c>
      <c r="K13" s="20">
        <v>26</v>
      </c>
      <c r="L13" s="20">
        <v>0</v>
      </c>
      <c r="M13" s="19">
        <v>0</v>
      </c>
      <c r="N13" s="19">
        <v>-25</v>
      </c>
      <c r="O13" s="19">
        <v>9</v>
      </c>
      <c r="P13" s="19">
        <v>34</v>
      </c>
      <c r="Q13" s="19">
        <v>0</v>
      </c>
      <c r="R13" s="19">
        <v>4</v>
      </c>
      <c r="S13" s="19">
        <v>-5</v>
      </c>
      <c r="T13" s="19">
        <v>20</v>
      </c>
      <c r="U13" s="19">
        <v>25</v>
      </c>
      <c r="V13" s="19">
        <v>2</v>
      </c>
      <c r="W13" s="19">
        <v>8</v>
      </c>
      <c r="X13" s="19">
        <v>-2</v>
      </c>
      <c r="Y13" s="19">
        <v>25</v>
      </c>
      <c r="Z13" s="19">
        <v>27</v>
      </c>
      <c r="AA13" s="19">
        <v>4</v>
      </c>
      <c r="AB13" s="15"/>
      <c r="AC13" s="24">
        <f t="shared" si="0"/>
        <v>18</v>
      </c>
      <c r="AD13" s="20">
        <f t="shared" si="1"/>
        <v>-47</v>
      </c>
      <c r="AE13" s="20">
        <f t="shared" si="2"/>
        <v>92</v>
      </c>
      <c r="AF13" s="39">
        <f t="shared" si="3"/>
        <v>139</v>
      </c>
      <c r="AG13" s="25">
        <f t="shared" si="4"/>
        <v>8</v>
      </c>
      <c r="AH13" s="8">
        <f>IF(OR(B13="",AC13=""),"",RANK(AC13,$AC$4:$AC$20)+SUM(-AD13/1000)-(+AE13/10000)-(+AG13/100000)+COUNTIF(B$4:B$20,"&lt;="&amp;#REF!+1)/1000000+ROW()/100000000)</f>
        <v>14.03772013</v>
      </c>
      <c r="AI13" s="8">
        <f>IF(AC13="","",SMALL(AH$4:AH$20,ROWS(AC$4:AC13)))</f>
        <v>9.9999601600000005</v>
      </c>
      <c r="AK13" s="93">
        <f>IF(AL13="","",IF(AND(AM12=AM13,AN12=AN13,AO12=AO13,AP12=AP13,AQ12+AQ13),AK12,$AK$4+9))</f>
        <v>10</v>
      </c>
      <c r="AL13" s="94" t="str">
        <f t="shared" si="5"/>
        <v>VAUX. V</v>
      </c>
      <c r="AM13" s="94">
        <f t="shared" si="6"/>
        <v>36</v>
      </c>
      <c r="AN13" s="94">
        <f t="shared" si="7"/>
        <v>-11</v>
      </c>
      <c r="AO13" s="94">
        <f t="shared" si="8"/>
        <v>109</v>
      </c>
      <c r="AP13" s="94">
        <f t="shared" si="9"/>
        <v>120</v>
      </c>
      <c r="AQ13" s="95">
        <f t="shared" si="10"/>
        <v>14</v>
      </c>
      <c r="AR13" s="102"/>
      <c r="AS13" s="105" t="s">
        <v>93</v>
      </c>
    </row>
    <row r="14" spans="1:52" ht="15.75" x14ac:dyDescent="0.25">
      <c r="A14" s="45">
        <v>11</v>
      </c>
      <c r="B14" s="48" t="s">
        <v>47</v>
      </c>
      <c r="C14" s="27">
        <v>4</v>
      </c>
      <c r="D14" s="19">
        <v>5</v>
      </c>
      <c r="E14" s="19">
        <v>25</v>
      </c>
      <c r="F14" s="19">
        <v>20</v>
      </c>
      <c r="G14" s="26">
        <v>2</v>
      </c>
      <c r="H14" s="20">
        <v>10</v>
      </c>
      <c r="I14" s="20">
        <v>7</v>
      </c>
      <c r="J14" s="20">
        <v>31</v>
      </c>
      <c r="K14" s="20">
        <v>24</v>
      </c>
      <c r="L14" s="20">
        <v>4</v>
      </c>
      <c r="M14" s="19">
        <v>6</v>
      </c>
      <c r="N14" s="19">
        <v>2</v>
      </c>
      <c r="O14" s="19">
        <v>23</v>
      </c>
      <c r="P14" s="19">
        <v>21</v>
      </c>
      <c r="Q14" s="19">
        <v>2</v>
      </c>
      <c r="R14" s="19">
        <v>4</v>
      </c>
      <c r="S14" s="19">
        <v>8</v>
      </c>
      <c r="T14" s="19">
        <v>28</v>
      </c>
      <c r="U14" s="19">
        <v>20</v>
      </c>
      <c r="V14" s="19">
        <v>2</v>
      </c>
      <c r="W14" s="19">
        <v>20</v>
      </c>
      <c r="X14" s="19">
        <v>6</v>
      </c>
      <c r="Y14" s="19">
        <v>34</v>
      </c>
      <c r="Z14" s="19">
        <v>16</v>
      </c>
      <c r="AA14" s="19">
        <v>6</v>
      </c>
      <c r="AB14" s="15"/>
      <c r="AC14" s="24">
        <f t="shared" si="0"/>
        <v>44</v>
      </c>
      <c r="AD14" s="20">
        <f t="shared" si="1"/>
        <v>28</v>
      </c>
      <c r="AE14" s="20">
        <f t="shared" si="2"/>
        <v>141</v>
      </c>
      <c r="AF14" s="39">
        <f t="shared" si="3"/>
        <v>101</v>
      </c>
      <c r="AG14" s="25">
        <f t="shared" si="4"/>
        <v>16</v>
      </c>
      <c r="AH14" s="8">
        <f>IF(OR(B14="",AC14=""),"",RANK(AC14,$AC$4:$AC$20)+SUM(-AD14/1000)-(+AE14/10000)-(+AG14/100000)+COUNTIF(B$4:B$20,"&lt;="&amp;#REF!+1)/1000000+ROW()/100000000)</f>
        <v>3.9577401399999999</v>
      </c>
      <c r="AI14" s="8">
        <f>IF(AC14="","",SMALL(AH$4:AH$20,ROWS(AC$4:AC14)))</f>
        <v>11.004580089999999</v>
      </c>
      <c r="AK14" s="93">
        <f>IF(AL14="","",IF(AND(AM13=AM14,AN13=AN14,AO13=AO14,AP13=AP14,AQ13+AQ14),AK13,$AK$4+10))</f>
        <v>11</v>
      </c>
      <c r="AL14" s="94" t="str">
        <f t="shared" si="5"/>
        <v>FRAYSSE. D</v>
      </c>
      <c r="AM14" s="94">
        <f t="shared" si="6"/>
        <v>24</v>
      </c>
      <c r="AN14" s="94">
        <f t="shared" si="7"/>
        <v>-15</v>
      </c>
      <c r="AO14" s="94">
        <f t="shared" si="8"/>
        <v>103</v>
      </c>
      <c r="AP14" s="94">
        <f t="shared" si="9"/>
        <v>118</v>
      </c>
      <c r="AQ14" s="95">
        <f t="shared" si="10"/>
        <v>12</v>
      </c>
      <c r="AR14" s="102"/>
      <c r="AS14" s="105" t="s">
        <v>93</v>
      </c>
    </row>
    <row r="15" spans="1:52" ht="15.75" x14ac:dyDescent="0.25">
      <c r="A15" s="45">
        <v>12</v>
      </c>
      <c r="B15" s="48" t="s">
        <v>48</v>
      </c>
      <c r="C15" s="27">
        <v>4</v>
      </c>
      <c r="D15" s="19">
        <v>-2</v>
      </c>
      <c r="E15" s="19">
        <v>20</v>
      </c>
      <c r="F15" s="19">
        <v>22</v>
      </c>
      <c r="G15" s="26">
        <v>2</v>
      </c>
      <c r="H15" s="20">
        <v>4</v>
      </c>
      <c r="I15" s="20">
        <v>-1</v>
      </c>
      <c r="J15" s="20">
        <v>26</v>
      </c>
      <c r="K15" s="20">
        <v>27</v>
      </c>
      <c r="L15" s="20">
        <v>2</v>
      </c>
      <c r="M15" s="19">
        <v>2</v>
      </c>
      <c r="N15" s="19">
        <v>-7</v>
      </c>
      <c r="O15" s="19">
        <v>21</v>
      </c>
      <c r="P15" s="19">
        <v>28</v>
      </c>
      <c r="Q15" s="19">
        <v>0</v>
      </c>
      <c r="R15" s="19">
        <v>0</v>
      </c>
      <c r="S15" s="19">
        <v>-21</v>
      </c>
      <c r="T15" s="19">
        <v>11</v>
      </c>
      <c r="U15" s="19">
        <v>32</v>
      </c>
      <c r="V15" s="19">
        <v>0</v>
      </c>
      <c r="W15" s="19">
        <v>0</v>
      </c>
      <c r="X15" s="19">
        <v>-15</v>
      </c>
      <c r="Y15" s="19">
        <v>18</v>
      </c>
      <c r="Z15" s="19">
        <v>33</v>
      </c>
      <c r="AA15" s="19">
        <v>0</v>
      </c>
      <c r="AB15" s="15"/>
      <c r="AC15" s="24">
        <f t="shared" si="0"/>
        <v>10</v>
      </c>
      <c r="AD15" s="20">
        <f t="shared" si="1"/>
        <v>-46</v>
      </c>
      <c r="AE15" s="20">
        <f t="shared" si="2"/>
        <v>96</v>
      </c>
      <c r="AF15" s="39">
        <f t="shared" si="3"/>
        <v>142</v>
      </c>
      <c r="AG15" s="25">
        <f t="shared" si="4"/>
        <v>4</v>
      </c>
      <c r="AH15" s="8">
        <f>IF(OR(B15="",AC15=""),"",RANK(AC15,$AC$4:$AC$20)+SUM(-AD15/1000)-(+AE15/10000)-(+AG15/100000)+COUNTIF(B$4:B$20,"&lt;="&amp;#REF!+1)/1000000+ROW()/100000000)</f>
        <v>16.036360150000004</v>
      </c>
      <c r="AI15" s="8">
        <f>IF(AC15="","",SMALL(AH$4:AH$20,ROWS(AC$4:AC15)))</f>
        <v>11.017300180000001</v>
      </c>
      <c r="AK15" s="93">
        <f>IF(AL15="","",IF(AND(AM14=AM15,AN14=AN15,AO14=AO15,AP14=AP15,AQ14+AQ15),AK14,$AK$4+11))</f>
        <v>12</v>
      </c>
      <c r="AL15" s="94" t="str">
        <f t="shared" si="5"/>
        <v>ROYER. D</v>
      </c>
      <c r="AM15" s="94">
        <f t="shared" si="6"/>
        <v>24</v>
      </c>
      <c r="AN15" s="94">
        <f t="shared" si="7"/>
        <v>-28</v>
      </c>
      <c r="AO15" s="94">
        <f t="shared" si="8"/>
        <v>106</v>
      </c>
      <c r="AP15" s="94">
        <f t="shared" si="9"/>
        <v>134</v>
      </c>
      <c r="AQ15" s="95">
        <f t="shared" si="10"/>
        <v>10</v>
      </c>
      <c r="AR15" s="102"/>
      <c r="AS15" s="105" t="s">
        <v>93</v>
      </c>
    </row>
    <row r="16" spans="1:52" ht="15.75" x14ac:dyDescent="0.25">
      <c r="A16" s="45">
        <v>13</v>
      </c>
      <c r="B16" s="48" t="s">
        <v>49</v>
      </c>
      <c r="C16" s="27">
        <v>2</v>
      </c>
      <c r="D16" s="19">
        <v>-14</v>
      </c>
      <c r="E16" s="19">
        <v>13</v>
      </c>
      <c r="F16" s="19">
        <v>27</v>
      </c>
      <c r="G16" s="26">
        <v>0</v>
      </c>
      <c r="H16" s="20">
        <v>14</v>
      </c>
      <c r="I16" s="20">
        <v>9</v>
      </c>
      <c r="J16" s="20">
        <v>33</v>
      </c>
      <c r="K16" s="20">
        <v>24</v>
      </c>
      <c r="L16" s="20">
        <v>6</v>
      </c>
      <c r="M16" s="19">
        <v>8</v>
      </c>
      <c r="N16" s="19">
        <v>4</v>
      </c>
      <c r="O16" s="19">
        <v>26</v>
      </c>
      <c r="P16" s="19">
        <v>22</v>
      </c>
      <c r="Q16" s="19">
        <v>4</v>
      </c>
      <c r="R16" s="19">
        <f>IF(ISNA(VLOOKUP($B16,'4J'!$B$1:$O$200,14,0))," ",VLOOKUP($B16,'4J'!$B$1:R$200,14,0))</f>
        <v>6</v>
      </c>
      <c r="S16" s="19">
        <f>IF(ISNA(VLOOKUP($B16,'4J'!$B$1:$P$200,8,0))," ",VLOOKUP($B16,'4J'!$B$1:$P$200,8,0))</f>
        <v>-5</v>
      </c>
      <c r="T16" s="19">
        <f>IF(ISNA(VLOOKUP($B16,'4J'!$B$1:$P$200,6,0))," ",VLOOKUP($B16,'4J'!$B$1:$P$200,6,0))</f>
        <v>17</v>
      </c>
      <c r="U16" s="19">
        <f>IF(ISNA(VLOOKUP($B16,'4J'!$B$1:$P$200,7,0))," ",VLOOKUP($B16,'4J'!$B$1:$P$200,7,0))</f>
        <v>22</v>
      </c>
      <c r="V16" s="19">
        <f>IF(ISNA(VLOOKUP($B16,'4J'!$B$1:$P$200,10,0))," ",VLOOKUP($B16,'4J'!$B$1:$P$200,10,0))</f>
        <v>2</v>
      </c>
      <c r="W16" s="19">
        <v>6</v>
      </c>
      <c r="X16" s="19">
        <v>-5</v>
      </c>
      <c r="Y16" s="19">
        <v>20</v>
      </c>
      <c r="Z16" s="19">
        <v>25</v>
      </c>
      <c r="AA16" s="19">
        <v>2</v>
      </c>
      <c r="AB16" s="15"/>
      <c r="AC16" s="24">
        <f t="shared" si="0"/>
        <v>36</v>
      </c>
      <c r="AD16" s="20">
        <f t="shared" si="1"/>
        <v>-11</v>
      </c>
      <c r="AE16" s="20">
        <f t="shared" si="2"/>
        <v>109</v>
      </c>
      <c r="AF16" s="39">
        <f t="shared" si="3"/>
        <v>120</v>
      </c>
      <c r="AG16" s="25">
        <f t="shared" si="4"/>
        <v>14</v>
      </c>
      <c r="AH16" s="8">
        <f>IF(OR(B16="",AC16=""),"",RANK(AC16,$AC$4:$AC$20)+SUM(-AD16/1000)-(+AE16/10000)-(+AG16/100000)+COUNTIF(B$4:B$20,"&lt;="&amp;#REF!+1)/1000000+ROW()/100000000)</f>
        <v>9.9999601600000005</v>
      </c>
      <c r="AI16" s="8">
        <f>IF(AC16="","",SMALL(AH$4:AH$20,ROWS(AC$4:AC16)))</f>
        <v>11.023980119999999</v>
      </c>
      <c r="AK16" s="93">
        <f>IF(AL16="","",IF(AND(AM15=AM16,AN15=AN16,AO15=AO16,AP15=AP16,AQ15+AQ16),AK15,$AK$4+12))</f>
        <v>13</v>
      </c>
      <c r="AL16" s="94" t="str">
        <f t="shared" si="5"/>
        <v>DAMON. A.S</v>
      </c>
      <c r="AM16" s="94">
        <f t="shared" si="6"/>
        <v>24</v>
      </c>
      <c r="AN16" s="94">
        <f t="shared" si="7"/>
        <v>-34</v>
      </c>
      <c r="AO16" s="94">
        <f t="shared" si="8"/>
        <v>99</v>
      </c>
      <c r="AP16" s="94">
        <f t="shared" si="9"/>
        <v>133</v>
      </c>
      <c r="AQ16" s="95">
        <f t="shared" si="10"/>
        <v>12</v>
      </c>
      <c r="AR16" s="102"/>
      <c r="AS16" s="105" t="s">
        <v>93</v>
      </c>
    </row>
    <row r="17" spans="1:45" ht="15.75" x14ac:dyDescent="0.25">
      <c r="A17" s="45">
        <v>14</v>
      </c>
      <c r="B17" s="48" t="s">
        <v>50</v>
      </c>
      <c r="C17" s="27">
        <v>2</v>
      </c>
      <c r="D17" s="19">
        <v>-15</v>
      </c>
      <c r="E17" s="19">
        <v>13</v>
      </c>
      <c r="F17" s="19">
        <v>28</v>
      </c>
      <c r="G17" s="26">
        <v>0</v>
      </c>
      <c r="H17" s="20">
        <v>4</v>
      </c>
      <c r="I17" s="20">
        <v>0</v>
      </c>
      <c r="J17" s="20">
        <v>25</v>
      </c>
      <c r="K17" s="20">
        <v>25</v>
      </c>
      <c r="L17" s="20">
        <v>2</v>
      </c>
      <c r="M17" s="19">
        <v>12</v>
      </c>
      <c r="N17" s="19">
        <v>16</v>
      </c>
      <c r="O17" s="19">
        <v>33</v>
      </c>
      <c r="P17" s="19">
        <v>17</v>
      </c>
      <c r="Q17" s="19">
        <v>6</v>
      </c>
      <c r="R17" s="19">
        <v>10</v>
      </c>
      <c r="S17" s="19">
        <v>13</v>
      </c>
      <c r="T17" s="19">
        <v>31</v>
      </c>
      <c r="U17" s="19">
        <v>18</v>
      </c>
      <c r="V17" s="19">
        <v>4</v>
      </c>
      <c r="W17" s="19">
        <v>10</v>
      </c>
      <c r="X17" s="19">
        <v>-3</v>
      </c>
      <c r="Y17" s="19">
        <v>26</v>
      </c>
      <c r="Z17" s="19">
        <v>29</v>
      </c>
      <c r="AA17" s="19">
        <v>4</v>
      </c>
      <c r="AB17" s="15"/>
      <c r="AC17" s="24">
        <f t="shared" si="0"/>
        <v>38</v>
      </c>
      <c r="AD17" s="20">
        <f t="shared" si="1"/>
        <v>11</v>
      </c>
      <c r="AE17" s="20">
        <f t="shared" si="2"/>
        <v>128</v>
      </c>
      <c r="AF17" s="39">
        <f t="shared" si="3"/>
        <v>117</v>
      </c>
      <c r="AG17" s="25">
        <f t="shared" si="4"/>
        <v>16</v>
      </c>
      <c r="AH17" s="8">
        <f>IF(OR(B17="",AC17=""),"",RANK(AC17,$AC$4:$AC$20)+SUM(-AD17/1000)-(+AE17/10000)-(+AG17/100000)+COUNTIF(B$4:B$20,"&lt;="&amp;#REF!+1)/1000000+ROW()/100000000)</f>
        <v>6.9760401699999992</v>
      </c>
      <c r="AI17" s="8">
        <f>IF(AC17="","",SMALL(AH$4:AH$20,ROWS(AC$4:AC17)))</f>
        <v>14.03772013</v>
      </c>
      <c r="AK17" s="93">
        <f>IF(AL17="","",IF(AND(AM16=AM17,AN16=AN17,AO16=AO17,AP16=AP17,AQ16+AQ17),AK16,$AK$4+13))</f>
        <v>14</v>
      </c>
      <c r="AL17" s="94" t="str">
        <f t="shared" si="5"/>
        <v>DALLOZ. C</v>
      </c>
      <c r="AM17" s="94">
        <f t="shared" si="6"/>
        <v>18</v>
      </c>
      <c r="AN17" s="94">
        <f t="shared" si="7"/>
        <v>-47</v>
      </c>
      <c r="AO17" s="94">
        <f t="shared" si="8"/>
        <v>92</v>
      </c>
      <c r="AP17" s="94">
        <f t="shared" si="9"/>
        <v>139</v>
      </c>
      <c r="AQ17" s="95">
        <f t="shared" si="10"/>
        <v>8</v>
      </c>
      <c r="AR17" s="102"/>
      <c r="AS17" s="105" t="s">
        <v>93</v>
      </c>
    </row>
    <row r="18" spans="1:45" ht="15.75" x14ac:dyDescent="0.25">
      <c r="A18" s="45">
        <v>15</v>
      </c>
      <c r="B18" s="48" t="s">
        <v>51</v>
      </c>
      <c r="C18" s="27">
        <v>0</v>
      </c>
      <c r="D18" s="19">
        <v>-10</v>
      </c>
      <c r="E18" s="19">
        <v>14</v>
      </c>
      <c r="F18" s="19">
        <v>24</v>
      </c>
      <c r="G18" s="26">
        <v>0</v>
      </c>
      <c r="H18" s="20">
        <v>6</v>
      </c>
      <c r="I18" s="20">
        <v>-5</v>
      </c>
      <c r="J18" s="20">
        <v>24</v>
      </c>
      <c r="K18" s="20">
        <v>29</v>
      </c>
      <c r="L18" s="20">
        <v>2</v>
      </c>
      <c r="M18" s="19">
        <v>12</v>
      </c>
      <c r="N18" s="19">
        <v>19</v>
      </c>
      <c r="O18" s="19">
        <v>33</v>
      </c>
      <c r="P18" s="19">
        <v>14</v>
      </c>
      <c r="Q18" s="19">
        <v>6</v>
      </c>
      <c r="R18" s="19">
        <v>6</v>
      </c>
      <c r="S18" s="19">
        <v>-14</v>
      </c>
      <c r="T18" s="19">
        <v>14</v>
      </c>
      <c r="U18" s="19">
        <v>28</v>
      </c>
      <c r="V18" s="19">
        <v>2</v>
      </c>
      <c r="W18" s="19">
        <v>0</v>
      </c>
      <c r="X18" s="19">
        <v>-18</v>
      </c>
      <c r="Y18" s="19">
        <v>21</v>
      </c>
      <c r="Z18" s="19">
        <v>39</v>
      </c>
      <c r="AA18" s="19">
        <v>0</v>
      </c>
      <c r="AB18" s="15"/>
      <c r="AC18" s="24">
        <f t="shared" si="0"/>
        <v>24</v>
      </c>
      <c r="AD18" s="20">
        <f t="shared" si="1"/>
        <v>-28</v>
      </c>
      <c r="AE18" s="20">
        <f t="shared" si="2"/>
        <v>106</v>
      </c>
      <c r="AF18" s="39">
        <f t="shared" si="3"/>
        <v>134</v>
      </c>
      <c r="AG18" s="25">
        <f t="shared" si="4"/>
        <v>10</v>
      </c>
      <c r="AH18" s="8">
        <f>IF(OR(B18="",AC18=""),"",RANK(AC18,$AC$4:$AC$20)+SUM(-AD18/1000)-(+AE18/10000)-(+AG18/100000)+COUNTIF(B$4:B$20,"&lt;="&amp;#REF!+1)/1000000+ROW()/100000000)</f>
        <v>11.017300180000001</v>
      </c>
      <c r="AI18" s="8">
        <f>IF(AC18="","",SMALL(AH$4:AH$20,ROWS(AC$4:AC18)))</f>
        <v>15.045540190000001</v>
      </c>
      <c r="AK18" s="93">
        <f>IF(AL18="","",IF(AND(AM17=AM18,AN17=AN18,AO17=AO18,AP17=AP18,AQ17+AQ18),AK17,$AK$4+14))</f>
        <v>15</v>
      </c>
      <c r="AL18" s="94" t="str">
        <f t="shared" si="5"/>
        <v>FROMENTOUX. S</v>
      </c>
      <c r="AM18" s="94">
        <f t="shared" si="6"/>
        <v>14</v>
      </c>
      <c r="AN18" s="94">
        <f t="shared" si="7"/>
        <v>-55</v>
      </c>
      <c r="AO18" s="94">
        <f t="shared" si="8"/>
        <v>94</v>
      </c>
      <c r="AP18" s="94">
        <f t="shared" si="9"/>
        <v>149</v>
      </c>
      <c r="AQ18" s="95">
        <f t="shared" si="10"/>
        <v>6</v>
      </c>
      <c r="AR18" s="102"/>
      <c r="AS18" s="105" t="s">
        <v>93</v>
      </c>
    </row>
    <row r="19" spans="1:45" ht="15.75" x14ac:dyDescent="0.25">
      <c r="A19" s="45">
        <v>16</v>
      </c>
      <c r="B19" s="48" t="s">
        <v>52</v>
      </c>
      <c r="C19" s="27">
        <v>0</v>
      </c>
      <c r="D19" s="19">
        <v>-24</v>
      </c>
      <c r="E19" s="19">
        <v>13</v>
      </c>
      <c r="F19" s="19">
        <v>37</v>
      </c>
      <c r="G19" s="26">
        <v>0</v>
      </c>
      <c r="H19" s="20">
        <v>8</v>
      </c>
      <c r="I19" s="20">
        <v>-2</v>
      </c>
      <c r="J19" s="20">
        <v>26</v>
      </c>
      <c r="K19" s="20">
        <v>28</v>
      </c>
      <c r="L19" s="20">
        <v>4</v>
      </c>
      <c r="M19" s="19">
        <v>6</v>
      </c>
      <c r="N19" s="19">
        <v>-7</v>
      </c>
      <c r="O19" s="19">
        <v>21</v>
      </c>
      <c r="P19" s="19">
        <v>28</v>
      </c>
      <c r="Q19" s="19">
        <v>2</v>
      </c>
      <c r="R19" s="19">
        <v>0</v>
      </c>
      <c r="S19" s="19">
        <v>-6</v>
      </c>
      <c r="T19" s="19">
        <v>20</v>
      </c>
      <c r="U19" s="19">
        <v>26</v>
      </c>
      <c r="V19" s="19">
        <v>0</v>
      </c>
      <c r="W19" s="19">
        <v>0</v>
      </c>
      <c r="X19" s="19">
        <v>-16</v>
      </c>
      <c r="Y19" s="19">
        <v>14</v>
      </c>
      <c r="Z19" s="19">
        <v>30</v>
      </c>
      <c r="AA19" s="19">
        <v>0</v>
      </c>
      <c r="AB19" s="15"/>
      <c r="AC19" s="24">
        <f t="shared" si="0"/>
        <v>14</v>
      </c>
      <c r="AD19" s="20">
        <f t="shared" si="1"/>
        <v>-55</v>
      </c>
      <c r="AE19" s="20">
        <f t="shared" si="2"/>
        <v>94</v>
      </c>
      <c r="AF19" s="39">
        <f t="shared" si="3"/>
        <v>149</v>
      </c>
      <c r="AG19" s="25">
        <f t="shared" si="4"/>
        <v>6</v>
      </c>
      <c r="AH19" s="8">
        <f>IF(OR(B19="",AC19=""),"",RANK(AC19,$AC$4:$AC$20)+SUM(-AD19/1000)-(+AE19/10000)-(+AG19/100000)+COUNTIF(B$4:B$20,"&lt;="&amp;#REF!+1)/1000000+ROW()/100000000)</f>
        <v>15.045540190000001</v>
      </c>
      <c r="AI19" s="8">
        <f>IF(AC19="","",SMALL(AH$4:AH$20,ROWS(AC$4:AC19)))</f>
        <v>16.036360150000004</v>
      </c>
      <c r="AK19" s="93">
        <f>IF(AL19="","",IF(AND(AM18=AM19,AN18=AN19,AO18=AO19,AP18=AP19,AQ18+AQ19),AK18,$AK$4+15))</f>
        <v>16</v>
      </c>
      <c r="AL19" s="94" t="str">
        <f t="shared" si="5"/>
        <v>TEYSSIER. N</v>
      </c>
      <c r="AM19" s="94">
        <f t="shared" si="6"/>
        <v>10</v>
      </c>
      <c r="AN19" s="94">
        <f t="shared" si="7"/>
        <v>-46</v>
      </c>
      <c r="AO19" s="94">
        <f t="shared" si="8"/>
        <v>96</v>
      </c>
      <c r="AP19" s="94">
        <f t="shared" si="9"/>
        <v>142</v>
      </c>
      <c r="AQ19" s="95">
        <f t="shared" si="10"/>
        <v>4</v>
      </c>
      <c r="AR19" s="102"/>
      <c r="AS19" s="105" t="s">
        <v>93</v>
      </c>
    </row>
    <row r="20" spans="1:45" ht="15.75" x14ac:dyDescent="0.25">
      <c r="A20" s="45">
        <v>19</v>
      </c>
      <c r="B20" s="49">
        <f>+'1J'!B34</f>
        <v>0</v>
      </c>
      <c r="C20" s="27" t="str">
        <f>IF(ISNA(VLOOKUP($B20,'1J'!$B$1:$O$100,14,0))," ",VLOOKUP($B20,'1J'!$B$1:O$100,14,0))</f>
        <v xml:space="preserve"> </v>
      </c>
      <c r="D20" s="19" t="str">
        <f>IF(ISNA(VLOOKUP($B20,'1J'!$B$1:$P$100,8,0))," ",VLOOKUP($B20,'1J'!$B$1:$P$100,8,0))</f>
        <v xml:space="preserve"> </v>
      </c>
      <c r="E20" s="19" t="str">
        <f>IF(ISNA(VLOOKUP($B20,'1J'!$B$1:$P$100,6,0))," ",VLOOKUP($B20,'1J'!$B$1:$P$100,6,0))</f>
        <v xml:space="preserve"> </v>
      </c>
      <c r="F20" s="38" t="str">
        <f>IF(ISNA(VLOOKUP($B20,'1J'!$B$1:$P$200,7,0))," ",VLOOKUP($B20,'1J'!$B$1:$P$200,7,0))</f>
        <v xml:space="preserve"> </v>
      </c>
      <c r="G20" s="26" t="str">
        <f>IF(ISNA(VLOOKUP($B20,'1J'!$B$1:$P$200,10,0))," ",VLOOKUP($B20,'1J'!$B$1:$P$200,10,0))</f>
        <v xml:space="preserve"> </v>
      </c>
      <c r="H20" s="20" t="str">
        <f>IF(ISNA(VLOOKUP($B20,'2J'!$B$1:$O$196,14,0))," ",VLOOKUP($B20,'2J'!$B$1:R$196,14,0))</f>
        <v xml:space="preserve"> </v>
      </c>
      <c r="I20" s="20" t="str">
        <f>IF(ISNA(VLOOKUP($B20,'2J'!$B$1:$P$196,8,0))," ",VLOOKUP($B20,'2J'!$B$1:$P$196,8,0))</f>
        <v xml:space="preserve"> </v>
      </c>
      <c r="J20" s="20" t="str">
        <f>IF(ISNA(VLOOKUP($B20,'2J'!$B$1:$P$196,6,0))," ",VLOOKUP($B20,'2J'!$B$1:$P$196,6,0))</f>
        <v xml:space="preserve"> </v>
      </c>
      <c r="K20" s="20" t="str">
        <f>IF(ISNA(VLOOKUP($B20,'2J'!$B$1:$P$196,7,0))," ",VLOOKUP($B20,'2J'!$B$1:$P$196,7,0))</f>
        <v xml:space="preserve"> </v>
      </c>
      <c r="L20" s="20" t="str">
        <f>IF(ISNA(VLOOKUP($B20,'2J'!$B$1:$P$196,10,0))," ",VLOOKUP($B20,'2J'!$B$1:$P$196,10,0))</f>
        <v xml:space="preserve"> </v>
      </c>
      <c r="M20" s="19" t="str">
        <f>IF(ISNA(VLOOKUP($B20,'3J'!$B$1:$O$200,14,0))," ",VLOOKUP($B20,'3J'!$B$1:R$200,14,0))</f>
        <v xml:space="preserve"> </v>
      </c>
      <c r="N20" s="19" t="str">
        <f>IF(ISNA(VLOOKUP($B20,'3J'!$B$1:$P$200,8,0))," ",VLOOKUP($B20,'3J'!$B$1:$P$200,8,0))</f>
        <v xml:space="preserve"> </v>
      </c>
      <c r="O20" s="19" t="str">
        <f>IF(ISNA(VLOOKUP($B20,'3J'!$B$1:$P$200,6,0))," ",VLOOKUP($B20,'3J'!$B$1:$P$200,6,0))</f>
        <v xml:space="preserve"> </v>
      </c>
      <c r="P20" s="19" t="str">
        <f>IF(ISNA(VLOOKUP($B20,'3J'!$B$1:$P$200,7,0))," ",VLOOKUP($B20,'3J'!$B$1:$P$200,7,0))</f>
        <v xml:space="preserve"> </v>
      </c>
      <c r="Q20" s="19" t="str">
        <f>IF(ISNA(VLOOKUP($B20,'3J'!$B$1:$P$200,10,0))," ",VLOOKUP($B20,'3J'!$B$1:$P$200,10,0))</f>
        <v xml:space="preserve"> </v>
      </c>
      <c r="R20" s="19" t="str">
        <f>IF(ISNA(VLOOKUP($B20,'4J'!$B$1:$O$200,14,0))," ",VLOOKUP($B20,'4J'!$B$1:R$200,14,0))</f>
        <v xml:space="preserve"> </v>
      </c>
      <c r="S20" s="19" t="str">
        <f>IF(ISNA(VLOOKUP($B20,'4J'!$B$1:$P$200,8,0))," ",VLOOKUP($B20,'4J'!$B$1:$P$200,8,0))</f>
        <v xml:space="preserve"> </v>
      </c>
      <c r="T20" s="19" t="str">
        <f>IF(ISNA(VLOOKUP($B20,'4J'!$B$1:$P$200,6,0))," ",VLOOKUP($B20,'4J'!$B$1:$P$200,6,0))</f>
        <v xml:space="preserve"> </v>
      </c>
      <c r="U20" s="19" t="str">
        <f>IF(ISNA(VLOOKUP($B20,'4J'!$B$1:$P$200,7,0))," ",VLOOKUP($B20,'4J'!$B$1:$P$200,7,0))</f>
        <v xml:space="preserve"> </v>
      </c>
      <c r="V20" s="19" t="str">
        <f>IF(ISNA(VLOOKUP($B20,'4J'!$B$1:$P$200,10,0))," ",VLOOKUP($B20,'4J'!$B$1:$P$200,10,0))</f>
        <v xml:space="preserve"> </v>
      </c>
      <c r="W20" s="19" t="str">
        <f>IF(ISNA(VLOOKUP($B20,'5J'!$B$1:$O$200,14,0))," ",VLOOKUP($B20,'5J'!$B$1:R$200,14,0))</f>
        <v xml:space="preserve"> </v>
      </c>
      <c r="X20" s="19" t="str">
        <f>IF(ISNA(VLOOKUP($B20,'5J'!$B$1:$P$200,8,0))," ",VLOOKUP($B20,'5J'!$B$1:$P$200,8,0))</f>
        <v xml:space="preserve"> </v>
      </c>
      <c r="Y20" s="19" t="str">
        <f>IF(ISNA(VLOOKUP($B20,'5J'!$B$1:$P$200,6,0))," ",VLOOKUP($B20,'5J'!$B$1:$P$200,6,0))</f>
        <v xml:space="preserve"> </v>
      </c>
      <c r="Z20" s="19" t="str">
        <f>IF(ISNA(VLOOKUP($B20,'5J'!$B$1:$P$200,7,0))," ",VLOOKUP($B20,'5J'!$B$1:$P$200,7,0))</f>
        <v xml:space="preserve"> </v>
      </c>
      <c r="AA20" s="19" t="str">
        <f>IF(ISNA(VLOOKUP($B20,'5J'!$B$1:$P$200,10,0))," ",VLOOKUP($B20,'5J'!$B$1:$P$200,10,0))</f>
        <v xml:space="preserve"> </v>
      </c>
      <c r="AB20" s="15"/>
      <c r="AC20" s="24">
        <f t="shared" ref="AC20" si="11">SUMIFS($C20:$W20,$C$3:$W$3,"Pts",$C20:$W20,"&lt;&gt;#N/A")</f>
        <v>0</v>
      </c>
      <c r="AD20" s="20">
        <f t="shared" ref="AD20" si="12">SUMIFS($D20:$X20,$D$3:$X$3,"GA",$D20:$X20,"&lt;&gt;#N/A")</f>
        <v>0</v>
      </c>
      <c r="AE20" s="20">
        <f t="shared" ref="AE20" si="13">SUMIFS($E20:$Y20,$E$3:$Y$3,"Pts Faits",$E20:$Y20,"&lt;&gt;#N/A")</f>
        <v>0</v>
      </c>
      <c r="AF20" s="39">
        <f t="shared" ref="AF20" si="14">SUMIFS($F20:$Z20,$F$3:$Z$3,"Pts concédés",$F20:$Z20,"&lt;&gt;#N/A")</f>
        <v>0</v>
      </c>
      <c r="AG20" s="25">
        <f t="shared" ref="AG20" si="15">SUMIFS($G20:$AA20,$G$3:$AA$3,"Bonus",$G20:$AA20,"&lt;&gt;#N/A")</f>
        <v>0</v>
      </c>
      <c r="AH20" s="8">
        <f>IF(OR(B20="",AC20=""),"",RANK(AC20,$AC$4:$AC$20)+SUM(-AD20/1000)-(+AE20/10000)-(+AG20/100000)+COUNTIF(B$4:B$20,"&lt;="&amp;B23+1)/1000000+ROW()/100000000)</f>
        <v>17.0000012</v>
      </c>
      <c r="AI20" s="8">
        <f>IF(AC20="","",SMALL(AH$4:AH$20,ROWS(AC$4:AC20)))</f>
        <v>17.0000012</v>
      </c>
      <c r="AK20" s="93"/>
      <c r="AL20" s="94">
        <f t="shared" si="5"/>
        <v>0</v>
      </c>
      <c r="AM20" s="94">
        <f t="shared" si="6"/>
        <v>0</v>
      </c>
      <c r="AN20" s="94">
        <f t="shared" si="7"/>
        <v>0</v>
      </c>
      <c r="AO20" s="94">
        <f t="shared" si="8"/>
        <v>0</v>
      </c>
      <c r="AP20" s="94">
        <f t="shared" si="9"/>
        <v>0</v>
      </c>
      <c r="AQ20" s="95">
        <f t="shared" si="10"/>
        <v>0</v>
      </c>
      <c r="AR20" s="102"/>
      <c r="AS20" s="105" t="s">
        <v>93</v>
      </c>
    </row>
    <row r="21" spans="1:45" ht="15.75" x14ac:dyDescent="0.25">
      <c r="B21" s="46"/>
      <c r="C21" s="1">
        <f t="shared" ref="C21:T21" si="16">SUM(C4:C20)</f>
        <v>116</v>
      </c>
      <c r="D21" s="1">
        <f t="shared" si="16"/>
        <v>0</v>
      </c>
      <c r="E21" s="1">
        <f t="shared" si="16"/>
        <v>351</v>
      </c>
      <c r="F21" s="1">
        <f t="shared" si="16"/>
        <v>351</v>
      </c>
      <c r="G21" s="1">
        <f t="shared" si="16"/>
        <v>48</v>
      </c>
      <c r="H21" s="1">
        <f t="shared" si="16"/>
        <v>116</v>
      </c>
      <c r="I21" s="1">
        <f t="shared" si="16"/>
        <v>0</v>
      </c>
      <c r="J21" s="1">
        <f t="shared" si="16"/>
        <v>411</v>
      </c>
      <c r="K21" s="1">
        <f t="shared" si="16"/>
        <v>411</v>
      </c>
      <c r="L21" s="1">
        <f t="shared" si="16"/>
        <v>48</v>
      </c>
      <c r="M21" s="1">
        <f t="shared" si="16"/>
        <v>116</v>
      </c>
      <c r="N21" s="1">
        <f t="shared" si="16"/>
        <v>0</v>
      </c>
      <c r="O21" s="1">
        <f t="shared" si="16"/>
        <v>378</v>
      </c>
      <c r="P21" s="1">
        <f t="shared" si="16"/>
        <v>378</v>
      </c>
      <c r="Q21" s="1">
        <f t="shared" si="16"/>
        <v>48</v>
      </c>
      <c r="R21" s="1">
        <f t="shared" si="16"/>
        <v>116</v>
      </c>
      <c r="S21" s="1">
        <f t="shared" si="16"/>
        <v>0</v>
      </c>
      <c r="T21" s="1">
        <f t="shared" si="16"/>
        <v>364</v>
      </c>
      <c r="U21" s="1">
        <f>SUM(Q21:T21)</f>
        <v>528</v>
      </c>
      <c r="V21" s="1">
        <f>SUM(V4:V20)</f>
        <v>48</v>
      </c>
      <c r="W21" s="1">
        <f>SUM(W4:W20)</f>
        <v>116</v>
      </c>
      <c r="X21" s="1">
        <f>SUM(X4:X20)</f>
        <v>-12</v>
      </c>
      <c r="Y21" s="1">
        <f>SUM(Y4:Y20)</f>
        <v>402</v>
      </c>
      <c r="Z21" s="1">
        <f>SUM(V21:Y21)</f>
        <v>554</v>
      </c>
      <c r="AA21" s="1">
        <f>SUM(AA4:AA20)</f>
        <v>48</v>
      </c>
      <c r="AB21" s="15"/>
      <c r="AC21" s="1">
        <f>SUM(AC4:AC20)</f>
        <v>580</v>
      </c>
      <c r="AD21" s="1">
        <f>SUM(AD4:AD20)</f>
        <v>-12</v>
      </c>
      <c r="AE21" s="1">
        <f>SUM(AE4:AE20)</f>
        <v>1906</v>
      </c>
      <c r="AF21" s="1">
        <f>SUM(AF4:AF20)</f>
        <v>1906</v>
      </c>
      <c r="AG21" s="1">
        <f>SUM(AG4:AG20)</f>
        <v>240</v>
      </c>
      <c r="AK21" s="96"/>
      <c r="AL21" s="94" t="e">
        <f>IF(OR(B21="",#REF!=""),"",INDEX($B$20:$B$36,MATCH(#REF!,$AH$4:$AH$20,0)))</f>
        <v>#REF!</v>
      </c>
      <c r="AM21" s="96">
        <f>SUM(AM4:AM20)</f>
        <v>580</v>
      </c>
      <c r="AN21" s="96">
        <f>SUM(AN4:AN20)</f>
        <v>-12</v>
      </c>
      <c r="AO21" s="96">
        <f>SUM(AO4:AO20)</f>
        <v>1906</v>
      </c>
      <c r="AP21" s="96">
        <f>SUM(AP4:AP20)</f>
        <v>1906</v>
      </c>
      <c r="AQ21" s="96">
        <f>SUM(AQ4:AQ20)</f>
        <v>214</v>
      </c>
      <c r="AR21" s="96"/>
    </row>
    <row r="22" spans="1:45" x14ac:dyDescent="0.25">
      <c r="B22"/>
      <c r="C22"/>
      <c r="D22"/>
      <c r="E22"/>
      <c r="F22"/>
      <c r="G22"/>
      <c r="AL22"/>
      <c r="AM22"/>
      <c r="AN22"/>
      <c r="AO22"/>
      <c r="AP22"/>
      <c r="AQ22"/>
      <c r="AR22"/>
      <c r="AS22"/>
    </row>
    <row r="23" spans="1:45" x14ac:dyDescent="0.25">
      <c r="B23"/>
      <c r="C23"/>
      <c r="D23"/>
      <c r="E23"/>
      <c r="F23"/>
      <c r="G23"/>
      <c r="AC23" s="1">
        <f>SUM(C37+H21+M21+R21+W21)</f>
        <v>464</v>
      </c>
      <c r="AD23" s="1">
        <f>SUM(D37+I21+N21+S21+X21)</f>
        <v>-12</v>
      </c>
      <c r="AE23" s="1">
        <f>SUM(E37+J21+O21+T21+Y21)</f>
        <v>1555</v>
      </c>
      <c r="AG23" s="1">
        <f>SUM(G37+L21+Q21+V21+AA21)</f>
        <v>192</v>
      </c>
      <c r="AL23"/>
      <c r="AM23"/>
      <c r="AN23"/>
      <c r="AO23"/>
      <c r="AP23"/>
      <c r="AQ23"/>
      <c r="AR23"/>
      <c r="AS23"/>
    </row>
    <row r="24" spans="1:45" x14ac:dyDescent="0.25">
      <c r="B24"/>
      <c r="C24"/>
      <c r="D24"/>
      <c r="E24"/>
      <c r="F24"/>
      <c r="G24"/>
      <c r="AL24"/>
      <c r="AM24"/>
      <c r="AN24"/>
      <c r="AO24"/>
      <c r="AP24"/>
      <c r="AQ24"/>
      <c r="AR24"/>
      <c r="AS24"/>
    </row>
    <row r="25" spans="1:45" x14ac:dyDescent="0.25">
      <c r="B25"/>
      <c r="C25"/>
      <c r="D25"/>
      <c r="E25"/>
      <c r="F25"/>
      <c r="G25"/>
      <c r="AL25"/>
      <c r="AM25"/>
      <c r="AN25"/>
      <c r="AO25"/>
      <c r="AP25"/>
      <c r="AQ25"/>
      <c r="AR25"/>
      <c r="AS25"/>
    </row>
    <row r="26" spans="1:45" x14ac:dyDescent="0.25">
      <c r="B26"/>
      <c r="C26"/>
      <c r="D26"/>
      <c r="E26"/>
      <c r="F26"/>
      <c r="G26"/>
      <c r="AL26"/>
      <c r="AM26"/>
      <c r="AN26"/>
      <c r="AO26"/>
      <c r="AP26"/>
      <c r="AQ26"/>
      <c r="AR26"/>
      <c r="AS26"/>
    </row>
    <row r="27" spans="1:45" x14ac:dyDescent="0.25">
      <c r="B27"/>
      <c r="C27"/>
      <c r="D27"/>
      <c r="E27"/>
      <c r="F27"/>
      <c r="G27"/>
      <c r="AL27"/>
      <c r="AM27"/>
      <c r="AN27"/>
      <c r="AO27"/>
      <c r="AP27"/>
      <c r="AQ27"/>
      <c r="AR27"/>
      <c r="AS27"/>
    </row>
    <row r="28" spans="1:45" x14ac:dyDescent="0.25">
      <c r="B28"/>
      <c r="C28"/>
      <c r="D28"/>
      <c r="E28"/>
      <c r="F28"/>
      <c r="G28"/>
      <c r="AL28"/>
      <c r="AM28"/>
      <c r="AN28"/>
      <c r="AO28"/>
      <c r="AP28"/>
      <c r="AQ28"/>
      <c r="AR28"/>
      <c r="AS28"/>
    </row>
    <row r="29" spans="1:45" x14ac:dyDescent="0.25">
      <c r="B29"/>
      <c r="C29"/>
      <c r="D29"/>
      <c r="E29"/>
      <c r="F29"/>
      <c r="G29"/>
      <c r="AL29"/>
      <c r="AM29"/>
      <c r="AN29"/>
      <c r="AO29"/>
      <c r="AP29"/>
      <c r="AQ29"/>
      <c r="AR29"/>
      <c r="AS29"/>
    </row>
    <row r="30" spans="1:45" x14ac:dyDescent="0.25">
      <c r="B30"/>
      <c r="C30"/>
      <c r="D30"/>
      <c r="E30"/>
      <c r="F30"/>
      <c r="G30"/>
      <c r="AL30"/>
      <c r="AM30"/>
      <c r="AN30"/>
      <c r="AO30"/>
      <c r="AP30"/>
      <c r="AQ30"/>
      <c r="AR30"/>
      <c r="AS30"/>
    </row>
    <row r="31" spans="1:45" x14ac:dyDescent="0.25">
      <c r="B31"/>
      <c r="C31"/>
      <c r="D31"/>
      <c r="E31"/>
      <c r="F31"/>
      <c r="G31"/>
      <c r="AL31"/>
      <c r="AM31"/>
      <c r="AN31"/>
      <c r="AO31"/>
      <c r="AP31"/>
      <c r="AQ31"/>
      <c r="AR31"/>
      <c r="AS31"/>
    </row>
    <row r="32" spans="1:45" x14ac:dyDescent="0.25">
      <c r="B32"/>
      <c r="C32"/>
      <c r="D32"/>
      <c r="E32"/>
      <c r="F32"/>
      <c r="G32"/>
      <c r="AL32"/>
      <c r="AM32"/>
      <c r="AN32"/>
      <c r="AO32"/>
      <c r="AP32"/>
      <c r="AQ32"/>
      <c r="AR32"/>
      <c r="AS32"/>
    </row>
    <row r="33" spans="2:45" x14ac:dyDescent="0.25">
      <c r="B33"/>
      <c r="C33"/>
      <c r="D33"/>
      <c r="E33"/>
      <c r="F33"/>
      <c r="G33"/>
      <c r="AL33"/>
      <c r="AM33"/>
      <c r="AN33"/>
      <c r="AO33"/>
      <c r="AP33"/>
      <c r="AQ33"/>
      <c r="AR33"/>
      <c r="AS33"/>
    </row>
    <row r="34" spans="2:45" x14ac:dyDescent="0.25">
      <c r="B34"/>
      <c r="C34"/>
      <c r="D34"/>
      <c r="E34"/>
      <c r="F34"/>
      <c r="G34"/>
      <c r="AL34"/>
      <c r="AM34"/>
      <c r="AN34"/>
      <c r="AO34"/>
      <c r="AP34"/>
      <c r="AQ34"/>
      <c r="AR34"/>
      <c r="AS34"/>
    </row>
    <row r="35" spans="2:45" x14ac:dyDescent="0.25">
      <c r="B35"/>
      <c r="C35"/>
      <c r="D35"/>
      <c r="E35"/>
      <c r="F35"/>
      <c r="G35"/>
      <c r="AL35"/>
      <c r="AM35"/>
      <c r="AN35"/>
      <c r="AO35"/>
      <c r="AP35"/>
      <c r="AQ35"/>
      <c r="AR35"/>
      <c r="AS35"/>
    </row>
    <row r="36" spans="2:45" x14ac:dyDescent="0.25">
      <c r="B36"/>
      <c r="C36"/>
      <c r="D36"/>
      <c r="E36"/>
      <c r="F36"/>
      <c r="G36"/>
      <c r="AL36"/>
      <c r="AM36"/>
      <c r="AN36"/>
      <c r="AO36"/>
      <c r="AP36"/>
      <c r="AQ36"/>
      <c r="AR36"/>
      <c r="AS36"/>
    </row>
    <row r="37" spans="2:45" x14ac:dyDescent="0.25">
      <c r="B37"/>
      <c r="C37"/>
      <c r="D37"/>
      <c r="E37"/>
      <c r="F37"/>
      <c r="G37"/>
      <c r="AL37"/>
      <c r="AM37"/>
      <c r="AN37"/>
      <c r="AO37"/>
      <c r="AP37"/>
      <c r="AQ37"/>
      <c r="AR37"/>
      <c r="AS37"/>
    </row>
    <row r="85" spans="1:45" x14ac:dyDescent="0.25">
      <c r="A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S85" s="9"/>
    </row>
    <row r="101" spans="2:43" x14ac:dyDescent="0.25">
      <c r="B101" s="9"/>
      <c r="C101" s="9"/>
      <c r="D101" s="9"/>
      <c r="E101" s="9"/>
      <c r="F101" s="9"/>
      <c r="G101" s="9"/>
      <c r="AL101" s="9"/>
      <c r="AM101" s="9"/>
      <c r="AN101" s="9"/>
      <c r="AO101" s="9"/>
      <c r="AP101" s="9"/>
      <c r="AQ101" s="9"/>
    </row>
  </sheetData>
  <mergeCells count="5">
    <mergeCell ref="AK1:AO1"/>
    <mergeCell ref="R2:V2"/>
    <mergeCell ref="W2:AA2"/>
    <mergeCell ref="AC2:AG2"/>
    <mergeCell ref="B1:AA1"/>
  </mergeCells>
  <conditionalFormatting sqref="AC23">
    <cfRule type="expression" dxfId="16" priority="2">
      <formula>OR($AC$23=$AC$21)</formula>
    </cfRule>
  </conditionalFormatting>
  <conditionalFormatting sqref="AD23">
    <cfRule type="expression" dxfId="15" priority="3">
      <formula>OR($AD$23=$AD$21)</formula>
    </cfRule>
  </conditionalFormatting>
  <conditionalFormatting sqref="AE23:AF23">
    <cfRule type="expression" dxfId="14" priority="4">
      <formula>OR($AE$23=$AE$21)</formula>
    </cfRule>
  </conditionalFormatting>
  <conditionalFormatting sqref="AG23">
    <cfRule type="expression" dxfId="13" priority="5">
      <formula>OR($A$23=$A$21)</formula>
    </cfRule>
  </conditionalFormatting>
  <conditionalFormatting sqref="AK4:AK20">
    <cfRule type="duplicateValues" dxfId="12" priority="9"/>
  </conditionalFormatting>
  <pageMargins left="0.19685039370078741" right="0.23622047244094491" top="0.74803149606299213" bottom="0.74803149606299213" header="0.31496062992125984" footer="0.31496062992125984"/>
  <pageSetup paperSize="9" scale="71" orientation="landscape" horizontalDpi="4294967293" verticalDpi="0" r:id="rId1"/>
  <rowBreaks count="1" manualBreakCount="1">
    <brk id="21" max="16383" man="1"/>
  </rowBreaks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workbookViewId="0">
      <selection activeCell="B14" sqref="B14"/>
    </sheetView>
  </sheetViews>
  <sheetFormatPr baseColWidth="10" defaultRowHeight="15" x14ac:dyDescent="0.25"/>
  <cols>
    <col min="1" max="1" width="8.42578125" style="1" customWidth="1"/>
    <col min="2" max="2" width="27.140625" style="1" customWidth="1"/>
    <col min="3" max="7" width="11.42578125" style="1"/>
    <col min="8" max="8" width="11.7109375" style="1" customWidth="1"/>
    <col min="9" max="9" width="10.7109375" style="1" customWidth="1"/>
    <col min="10" max="11" width="11.42578125" style="1"/>
    <col min="12" max="12" width="15.5703125" style="1" customWidth="1"/>
    <col min="13" max="14" width="11.42578125" style="1"/>
    <col min="15" max="15" width="18" style="1" customWidth="1"/>
    <col min="16" max="16384" width="11.42578125" style="1"/>
  </cols>
  <sheetData>
    <row r="1" spans="1:15" x14ac:dyDescent="0.25">
      <c r="A1" s="10" t="s">
        <v>32</v>
      </c>
    </row>
    <row r="2" spans="1:15" x14ac:dyDescent="0.25">
      <c r="A2" s="1" t="s">
        <v>1</v>
      </c>
    </row>
    <row r="3" spans="1:15" x14ac:dyDescent="0.25">
      <c r="C3" s="2"/>
      <c r="L3" s="1" t="s">
        <v>2</v>
      </c>
    </row>
    <row r="4" spans="1:15" x14ac:dyDescent="0.25">
      <c r="C4" s="1" t="s">
        <v>3</v>
      </c>
      <c r="L4" s="1" t="s">
        <v>4</v>
      </c>
    </row>
    <row r="5" spans="1:15" s="4" customFormat="1" ht="30" x14ac:dyDescent="0.25">
      <c r="C5" s="4" t="s">
        <v>5</v>
      </c>
      <c r="D5" s="4" t="s">
        <v>6</v>
      </c>
      <c r="E5" s="4" t="s">
        <v>7</v>
      </c>
      <c r="F5" s="4" t="s">
        <v>8</v>
      </c>
      <c r="G5" s="29" t="s">
        <v>27</v>
      </c>
      <c r="H5" s="35" t="s">
        <v>9</v>
      </c>
      <c r="I5" s="30" t="s">
        <v>10</v>
      </c>
      <c r="J5" s="4" t="s">
        <v>11</v>
      </c>
      <c r="K5" s="31" t="s">
        <v>12</v>
      </c>
      <c r="L5" s="4" t="s">
        <v>13</v>
      </c>
      <c r="M5" s="4" t="s">
        <v>14</v>
      </c>
      <c r="N5" s="4" t="s">
        <v>15</v>
      </c>
      <c r="O5" s="32" t="s">
        <v>16</v>
      </c>
    </row>
    <row r="6" spans="1:15" x14ac:dyDescent="0.25">
      <c r="B6" s="1">
        <v>1</v>
      </c>
      <c r="C6" s="1" t="s">
        <v>53</v>
      </c>
      <c r="D6" s="1">
        <v>2</v>
      </c>
      <c r="E6" s="1">
        <v>0</v>
      </c>
      <c r="F6" s="1">
        <v>0</v>
      </c>
      <c r="G6" s="1">
        <v>2</v>
      </c>
      <c r="H6" s="1">
        <v>15</v>
      </c>
      <c r="I6" s="1">
        <v>27</v>
      </c>
      <c r="J6" s="1">
        <v>-12</v>
      </c>
      <c r="K6" s="1">
        <v>3</v>
      </c>
      <c r="L6" s="1">
        <v>2</v>
      </c>
      <c r="M6" s="1">
        <v>0</v>
      </c>
    </row>
    <row r="7" spans="1:15" x14ac:dyDescent="0.25">
      <c r="A7" s="1">
        <v>1</v>
      </c>
      <c r="C7" s="1" t="s">
        <v>54</v>
      </c>
      <c r="D7" s="1">
        <v>0</v>
      </c>
      <c r="E7" s="1">
        <v>0</v>
      </c>
      <c r="F7" s="1">
        <v>2</v>
      </c>
      <c r="G7" s="1">
        <v>2</v>
      </c>
      <c r="H7" s="1">
        <v>22</v>
      </c>
      <c r="I7" s="1">
        <v>23</v>
      </c>
      <c r="J7" s="1">
        <v>-1</v>
      </c>
      <c r="K7" s="1">
        <v>2</v>
      </c>
      <c r="L7" s="1">
        <v>4</v>
      </c>
      <c r="M7" s="1">
        <v>2</v>
      </c>
    </row>
    <row r="8" spans="1:15" x14ac:dyDescent="0.25">
      <c r="C8" s="1" t="s">
        <v>55</v>
      </c>
      <c r="D8" s="1">
        <v>0</v>
      </c>
      <c r="E8" s="1">
        <v>2</v>
      </c>
      <c r="F8" s="1">
        <v>0</v>
      </c>
      <c r="G8" s="1">
        <v>2</v>
      </c>
      <c r="H8" s="1">
        <v>13</v>
      </c>
      <c r="I8" s="1">
        <v>28</v>
      </c>
      <c r="J8" s="1">
        <v>-15</v>
      </c>
      <c r="K8" s="1">
        <v>4</v>
      </c>
      <c r="L8" s="1">
        <v>0</v>
      </c>
      <c r="M8" s="1">
        <v>0</v>
      </c>
    </row>
    <row r="9" spans="1:15" x14ac:dyDescent="0.25">
      <c r="C9" s="1" t="s">
        <v>56</v>
      </c>
      <c r="D9" s="1">
        <v>2</v>
      </c>
      <c r="E9" s="1">
        <v>2</v>
      </c>
      <c r="F9" s="1">
        <v>2</v>
      </c>
      <c r="G9" s="1">
        <v>6</v>
      </c>
      <c r="H9" s="1">
        <v>37</v>
      </c>
      <c r="I9" s="1">
        <v>9</v>
      </c>
      <c r="J9" s="1">
        <v>28</v>
      </c>
      <c r="K9" s="1">
        <v>1</v>
      </c>
      <c r="L9" s="1">
        <v>6</v>
      </c>
      <c r="M9" s="1">
        <v>0</v>
      </c>
      <c r="N9" s="1">
        <v>4</v>
      </c>
      <c r="O9" s="1">
        <v>0</v>
      </c>
    </row>
    <row r="11" spans="1:15" x14ac:dyDescent="0.25">
      <c r="B11" s="1">
        <v>2</v>
      </c>
      <c r="C11" s="1" t="s">
        <v>57</v>
      </c>
      <c r="D11" s="1">
        <v>0</v>
      </c>
      <c r="E11" s="1">
        <v>0</v>
      </c>
      <c r="F11" s="1">
        <v>0</v>
      </c>
      <c r="G11" s="1">
        <v>0</v>
      </c>
      <c r="H11" s="1">
        <v>13</v>
      </c>
      <c r="I11" s="1">
        <v>37</v>
      </c>
      <c r="J11" s="1">
        <v>-24</v>
      </c>
      <c r="K11" s="1">
        <v>4</v>
      </c>
      <c r="L11" s="1">
        <v>0</v>
      </c>
    </row>
    <row r="12" spans="1:15" x14ac:dyDescent="0.25">
      <c r="A12" s="1">
        <v>2</v>
      </c>
      <c r="C12" s="1" t="s">
        <v>58</v>
      </c>
      <c r="D12" s="1">
        <v>2</v>
      </c>
      <c r="E12" s="1">
        <v>0</v>
      </c>
      <c r="F12" s="1">
        <v>0</v>
      </c>
      <c r="G12" s="1">
        <v>2</v>
      </c>
      <c r="H12" s="1">
        <v>25</v>
      </c>
      <c r="I12" s="1">
        <v>20</v>
      </c>
      <c r="J12" s="1">
        <v>5</v>
      </c>
      <c r="K12" s="1">
        <v>3</v>
      </c>
      <c r="L12" s="1">
        <v>2</v>
      </c>
      <c r="M12" s="1">
        <v>0</v>
      </c>
    </row>
    <row r="13" spans="1:15" x14ac:dyDescent="0.25">
      <c r="C13" s="1" t="s">
        <v>59</v>
      </c>
      <c r="D13" s="1">
        <v>0</v>
      </c>
      <c r="E13" s="1">
        <v>2</v>
      </c>
      <c r="F13" s="1">
        <v>2</v>
      </c>
      <c r="G13" s="1">
        <v>4</v>
      </c>
      <c r="H13" s="1">
        <v>27</v>
      </c>
      <c r="I13" s="1">
        <v>25</v>
      </c>
      <c r="J13" s="1">
        <v>2</v>
      </c>
      <c r="K13" s="1">
        <v>2</v>
      </c>
      <c r="L13" s="1">
        <v>4</v>
      </c>
      <c r="M13" s="1">
        <v>2</v>
      </c>
    </row>
    <row r="14" spans="1:15" x14ac:dyDescent="0.25">
      <c r="C14" s="1" t="s">
        <v>60</v>
      </c>
      <c r="D14" s="1">
        <v>2</v>
      </c>
      <c r="E14" s="1">
        <v>2</v>
      </c>
      <c r="F14" s="1">
        <v>2</v>
      </c>
      <c r="G14" s="1">
        <v>6</v>
      </c>
      <c r="H14" s="1">
        <v>35</v>
      </c>
      <c r="I14" s="1">
        <v>18</v>
      </c>
      <c r="J14" s="1">
        <v>17</v>
      </c>
      <c r="K14" s="1">
        <v>1</v>
      </c>
      <c r="L14" s="1">
        <v>6</v>
      </c>
      <c r="N14" s="1">
        <v>0</v>
      </c>
    </row>
    <row r="16" spans="1:15" x14ac:dyDescent="0.25">
      <c r="B16" s="1">
        <v>3</v>
      </c>
      <c r="C16" s="1" t="s">
        <v>61</v>
      </c>
      <c r="D16" s="1">
        <v>0</v>
      </c>
      <c r="E16" s="1">
        <v>2</v>
      </c>
      <c r="F16" s="1">
        <v>0</v>
      </c>
      <c r="G16" s="1">
        <v>2</v>
      </c>
      <c r="H16" s="1">
        <v>24</v>
      </c>
      <c r="I16" s="1">
        <v>19</v>
      </c>
      <c r="J16" s="1">
        <v>5</v>
      </c>
      <c r="K16" s="1">
        <v>3</v>
      </c>
      <c r="L16" s="1">
        <v>2</v>
      </c>
      <c r="M16" s="1">
        <v>2</v>
      </c>
    </row>
    <row r="17" spans="1:15" x14ac:dyDescent="0.25">
      <c r="A17" s="1">
        <v>3</v>
      </c>
      <c r="C17" s="1" t="s">
        <v>62</v>
      </c>
      <c r="D17" s="1">
        <v>2</v>
      </c>
      <c r="E17" s="1">
        <v>0</v>
      </c>
      <c r="F17" s="1">
        <v>2</v>
      </c>
      <c r="G17" s="1">
        <v>4</v>
      </c>
      <c r="H17" s="1">
        <v>23</v>
      </c>
      <c r="I17" s="1">
        <v>12</v>
      </c>
      <c r="J17" s="1">
        <v>11</v>
      </c>
      <c r="K17" s="1">
        <v>2</v>
      </c>
      <c r="L17" s="1">
        <v>4</v>
      </c>
      <c r="M17" s="1">
        <v>2</v>
      </c>
    </row>
    <row r="18" spans="1:15" x14ac:dyDescent="0.25">
      <c r="C18" s="1" t="s">
        <v>63</v>
      </c>
      <c r="D18" s="1">
        <v>2</v>
      </c>
      <c r="E18" s="1">
        <v>0</v>
      </c>
      <c r="F18" s="1">
        <v>0</v>
      </c>
      <c r="G18" s="1">
        <v>2</v>
      </c>
      <c r="H18" s="1">
        <v>13</v>
      </c>
      <c r="I18" s="1">
        <v>27</v>
      </c>
      <c r="J18" s="1">
        <v>-14</v>
      </c>
      <c r="K18" s="1">
        <v>4</v>
      </c>
      <c r="L18" s="1">
        <v>0</v>
      </c>
    </row>
    <row r="19" spans="1:15" x14ac:dyDescent="0.25">
      <c r="C19" s="1" t="s">
        <v>64</v>
      </c>
      <c r="D19" s="1">
        <v>0</v>
      </c>
      <c r="E19" s="1">
        <v>2</v>
      </c>
      <c r="F19" s="1">
        <v>2</v>
      </c>
      <c r="G19" s="1">
        <v>4</v>
      </c>
      <c r="H19" s="1">
        <v>18</v>
      </c>
      <c r="I19" s="1">
        <v>20</v>
      </c>
      <c r="J19" s="1">
        <v>-2</v>
      </c>
      <c r="K19" s="1">
        <v>1</v>
      </c>
      <c r="L19" s="1">
        <v>6</v>
      </c>
      <c r="N19" s="1">
        <v>0</v>
      </c>
    </row>
    <row r="21" spans="1:15" x14ac:dyDescent="0.25">
      <c r="B21" s="1">
        <v>4</v>
      </c>
      <c r="C21" s="1" t="s">
        <v>65</v>
      </c>
      <c r="D21" s="1">
        <v>0</v>
      </c>
      <c r="E21" s="1">
        <v>0</v>
      </c>
      <c r="F21" s="1">
        <v>2</v>
      </c>
      <c r="G21" s="1">
        <v>2</v>
      </c>
      <c r="H21" s="1">
        <v>20</v>
      </c>
      <c r="I21" s="1">
        <v>22</v>
      </c>
      <c r="J21" s="1">
        <v>-2</v>
      </c>
      <c r="K21" s="1">
        <v>3</v>
      </c>
      <c r="L21" s="1">
        <v>2</v>
      </c>
      <c r="M21" s="1">
        <v>0</v>
      </c>
    </row>
    <row r="22" spans="1:15" x14ac:dyDescent="0.25">
      <c r="A22" s="1">
        <v>4</v>
      </c>
      <c r="C22" s="1" t="s">
        <v>66</v>
      </c>
      <c r="D22" s="1">
        <v>2</v>
      </c>
      <c r="E22" s="1">
        <v>2</v>
      </c>
      <c r="F22" s="1">
        <v>2</v>
      </c>
      <c r="G22" s="1">
        <v>6</v>
      </c>
      <c r="H22" s="1">
        <v>25</v>
      </c>
      <c r="I22" s="1">
        <v>16</v>
      </c>
      <c r="J22" s="1">
        <v>9</v>
      </c>
      <c r="K22" s="1">
        <v>1</v>
      </c>
      <c r="L22" s="1">
        <v>6</v>
      </c>
      <c r="N22" s="1">
        <v>4</v>
      </c>
      <c r="O22" s="1">
        <v>4</v>
      </c>
    </row>
    <row r="23" spans="1:15" x14ac:dyDescent="0.25">
      <c r="C23" s="1" t="s">
        <v>67</v>
      </c>
      <c r="D23" s="1">
        <v>2</v>
      </c>
      <c r="E23" s="1">
        <v>2</v>
      </c>
      <c r="F23" s="1">
        <v>0</v>
      </c>
      <c r="G23" s="1">
        <v>4</v>
      </c>
      <c r="H23" s="1">
        <v>27</v>
      </c>
      <c r="I23" s="1">
        <v>24</v>
      </c>
      <c r="J23" s="1">
        <v>3</v>
      </c>
      <c r="K23" s="1">
        <v>2</v>
      </c>
      <c r="L23" s="1">
        <v>4</v>
      </c>
      <c r="M23" s="1">
        <v>0</v>
      </c>
    </row>
    <row r="24" spans="1:15" x14ac:dyDescent="0.25">
      <c r="C24" s="1" t="s">
        <v>68</v>
      </c>
      <c r="D24" s="1">
        <v>0</v>
      </c>
      <c r="E24" s="1">
        <v>0</v>
      </c>
      <c r="F24" s="1">
        <v>0</v>
      </c>
      <c r="G24" s="1">
        <v>0</v>
      </c>
      <c r="H24" s="1">
        <v>14</v>
      </c>
      <c r="I24" s="1">
        <v>24</v>
      </c>
      <c r="J24" s="1">
        <v>-10</v>
      </c>
      <c r="K24" s="1">
        <v>4</v>
      </c>
      <c r="L24" s="1">
        <v>0</v>
      </c>
    </row>
    <row r="25" spans="1:15" x14ac:dyDescent="0.25">
      <c r="D25" s="1">
        <v>16</v>
      </c>
      <c r="E25" s="1">
        <v>16</v>
      </c>
      <c r="F25" s="1">
        <v>16</v>
      </c>
      <c r="G25" s="1">
        <v>48</v>
      </c>
      <c r="J25" s="1">
        <v>0</v>
      </c>
      <c r="K25" s="1">
        <v>40</v>
      </c>
      <c r="L25" s="1">
        <v>48</v>
      </c>
      <c r="M25" s="1">
        <v>8</v>
      </c>
      <c r="N25" s="1">
        <v>8</v>
      </c>
      <c r="O25" s="1">
        <v>4</v>
      </c>
    </row>
    <row r="26" spans="1:15" x14ac:dyDescent="0.25">
      <c r="D26" s="1">
        <v>16</v>
      </c>
      <c r="E26" s="1">
        <v>16</v>
      </c>
      <c r="F26" s="1">
        <v>16</v>
      </c>
      <c r="G26" s="1">
        <v>48</v>
      </c>
      <c r="H26" s="1">
        <v>351</v>
      </c>
      <c r="I26" s="1">
        <v>351</v>
      </c>
      <c r="J26" s="1">
        <v>0</v>
      </c>
      <c r="K26" s="1">
        <v>40</v>
      </c>
      <c r="L26" s="1">
        <v>48</v>
      </c>
      <c r="M26" s="1">
        <v>8</v>
      </c>
      <c r="N26" s="1">
        <v>8</v>
      </c>
      <c r="O26" s="1">
        <v>4</v>
      </c>
    </row>
    <row r="27" spans="1:15" customFormat="1" x14ac:dyDescent="0.25"/>
    <row r="28" spans="1:15" customFormat="1" x14ac:dyDescent="0.25"/>
    <row r="29" spans="1:15" customFormat="1" x14ac:dyDescent="0.25"/>
    <row r="30" spans="1:15" customFormat="1" x14ac:dyDescent="0.25"/>
    <row r="31" spans="1:15" customFormat="1" x14ac:dyDescent="0.25"/>
    <row r="32" spans="1:15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topLeftCell="A5" workbookViewId="0">
      <selection activeCell="B22" sqref="B22"/>
    </sheetView>
  </sheetViews>
  <sheetFormatPr baseColWidth="10" defaultRowHeight="15" x14ac:dyDescent="0.25"/>
  <cols>
    <col min="1" max="1" width="12.42578125" customWidth="1"/>
    <col min="2" max="2" width="25.42578125" customWidth="1"/>
    <col min="8" max="8" width="11.140625" customWidth="1"/>
    <col min="9" max="9" width="11.85546875" customWidth="1"/>
    <col min="12" max="12" width="17.28515625" customWidth="1"/>
    <col min="15" max="15" width="20" customWidth="1"/>
  </cols>
  <sheetData>
    <row r="1" spans="1:15" x14ac:dyDescent="0.25">
      <c r="A1" s="10" t="s">
        <v>32</v>
      </c>
    </row>
    <row r="2" spans="1:15" x14ac:dyDescent="0.25">
      <c r="A2" t="s">
        <v>33</v>
      </c>
    </row>
    <row r="3" spans="1:1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 t="s">
        <v>2</v>
      </c>
      <c r="M3" s="1"/>
      <c r="N3" s="1"/>
      <c r="O3" s="1"/>
    </row>
    <row r="4" spans="1:15" x14ac:dyDescent="0.2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 t="s">
        <v>4</v>
      </c>
      <c r="M4" s="1"/>
      <c r="N4" s="1"/>
      <c r="O4" s="1"/>
    </row>
    <row r="5" spans="1:15" s="3" customFormat="1" ht="31.5" customHeight="1" x14ac:dyDescent="0.25">
      <c r="A5" s="4"/>
      <c r="B5" s="4"/>
      <c r="C5" s="4" t="s">
        <v>5</v>
      </c>
      <c r="D5" s="4" t="s">
        <v>6</v>
      </c>
      <c r="E5" s="4" t="s">
        <v>7</v>
      </c>
      <c r="F5" s="4" t="s">
        <v>8</v>
      </c>
      <c r="G5" s="29" t="s">
        <v>27</v>
      </c>
      <c r="H5" s="35" t="s">
        <v>9</v>
      </c>
      <c r="I5" s="30" t="s">
        <v>10</v>
      </c>
      <c r="J5" s="4" t="s">
        <v>11</v>
      </c>
      <c r="K5" s="31" t="s">
        <v>12</v>
      </c>
      <c r="L5" s="4" t="s">
        <v>13</v>
      </c>
      <c r="M5" s="4" t="s">
        <v>14</v>
      </c>
      <c r="N5" s="4" t="s">
        <v>15</v>
      </c>
      <c r="O5" s="32" t="s">
        <v>16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>
        <v>1</v>
      </c>
      <c r="B7" s="1" t="s">
        <v>46</v>
      </c>
      <c r="C7" s="1">
        <v>0</v>
      </c>
      <c r="D7" s="1">
        <v>2</v>
      </c>
      <c r="E7" s="1">
        <v>0</v>
      </c>
      <c r="F7" s="1">
        <v>2</v>
      </c>
      <c r="G7" s="1">
        <v>23</v>
      </c>
      <c r="H7" s="1">
        <v>26</v>
      </c>
      <c r="I7" s="1">
        <v>-3</v>
      </c>
      <c r="J7" s="1">
        <v>4</v>
      </c>
      <c r="K7" s="1">
        <v>0</v>
      </c>
      <c r="L7" s="1">
        <v>0</v>
      </c>
      <c r="M7" s="1"/>
      <c r="N7" s="1"/>
      <c r="O7" s="1">
        <v>2</v>
      </c>
    </row>
    <row r="8" spans="1:15" x14ac:dyDescent="0.25">
      <c r="A8" s="1"/>
      <c r="B8" s="1" t="s">
        <v>52</v>
      </c>
      <c r="C8" s="1">
        <v>2</v>
      </c>
      <c r="D8" s="1">
        <v>2</v>
      </c>
      <c r="E8" s="1">
        <v>0</v>
      </c>
      <c r="F8" s="1">
        <v>4</v>
      </c>
      <c r="G8" s="1">
        <v>26</v>
      </c>
      <c r="H8" s="1">
        <v>28</v>
      </c>
      <c r="I8" s="1">
        <v>-2</v>
      </c>
      <c r="J8" s="1">
        <v>2</v>
      </c>
      <c r="K8" s="1">
        <v>4</v>
      </c>
      <c r="L8" s="1"/>
      <c r="M8" s="1"/>
      <c r="N8" s="1"/>
      <c r="O8" s="1">
        <v>8</v>
      </c>
    </row>
    <row r="9" spans="1:15" x14ac:dyDescent="0.25">
      <c r="A9" s="1"/>
      <c r="B9" s="1" t="s">
        <v>45</v>
      </c>
      <c r="C9" s="1">
        <v>2</v>
      </c>
      <c r="D9" s="1">
        <v>0</v>
      </c>
      <c r="E9" s="1">
        <v>2</v>
      </c>
      <c r="F9" s="1">
        <v>4</v>
      </c>
      <c r="G9" s="1">
        <v>24</v>
      </c>
      <c r="H9" s="1">
        <v>18</v>
      </c>
      <c r="I9" s="1">
        <v>6</v>
      </c>
      <c r="J9" s="1">
        <v>1</v>
      </c>
      <c r="K9" s="1">
        <v>6</v>
      </c>
      <c r="L9" s="1">
        <v>0</v>
      </c>
      <c r="M9" s="1">
        <v>0</v>
      </c>
      <c r="N9" s="1"/>
      <c r="O9" s="1">
        <v>10</v>
      </c>
    </row>
    <row r="10" spans="1:15" x14ac:dyDescent="0.25">
      <c r="A10" s="1"/>
      <c r="B10" s="1" t="s">
        <v>48</v>
      </c>
      <c r="C10" s="1">
        <v>0</v>
      </c>
      <c r="D10" s="1">
        <v>0</v>
      </c>
      <c r="E10" s="1">
        <v>2</v>
      </c>
      <c r="F10" s="1">
        <v>2</v>
      </c>
      <c r="G10" s="1">
        <v>26</v>
      </c>
      <c r="H10" s="1">
        <v>27</v>
      </c>
      <c r="I10" s="1">
        <v>-1</v>
      </c>
      <c r="J10" s="1">
        <v>3</v>
      </c>
      <c r="K10" s="1">
        <v>2</v>
      </c>
      <c r="L10" s="1"/>
      <c r="M10" s="1"/>
      <c r="N10" s="1"/>
      <c r="O10" s="1">
        <v>4</v>
      </c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>
        <v>2</v>
      </c>
      <c r="B12" s="1" t="s">
        <v>44</v>
      </c>
      <c r="C12" s="1">
        <v>0</v>
      </c>
      <c r="D12" s="1">
        <v>0</v>
      </c>
      <c r="E12" s="1">
        <v>2</v>
      </c>
      <c r="F12" s="1">
        <v>2</v>
      </c>
      <c r="G12" s="1">
        <v>19</v>
      </c>
      <c r="H12" s="1">
        <v>29</v>
      </c>
      <c r="I12" s="1">
        <v>-10</v>
      </c>
      <c r="J12" s="1">
        <v>4</v>
      </c>
      <c r="K12" s="1">
        <v>0</v>
      </c>
      <c r="L12" s="1"/>
      <c r="M12" s="1"/>
      <c r="N12" s="1"/>
      <c r="O12" s="1">
        <v>2</v>
      </c>
    </row>
    <row r="13" spans="1:15" x14ac:dyDescent="0.25">
      <c r="A13" s="1"/>
      <c r="B13" s="1" t="s">
        <v>47</v>
      </c>
      <c r="C13" s="1">
        <v>2</v>
      </c>
      <c r="D13" s="1">
        <v>0</v>
      </c>
      <c r="E13" s="1">
        <v>2</v>
      </c>
      <c r="F13" s="1">
        <v>4</v>
      </c>
      <c r="G13" s="1">
        <v>31</v>
      </c>
      <c r="H13" s="1">
        <v>24</v>
      </c>
      <c r="I13" s="1">
        <v>7</v>
      </c>
      <c r="J13" s="1">
        <v>2</v>
      </c>
      <c r="K13" s="1">
        <v>4</v>
      </c>
      <c r="L13" s="1">
        <v>2</v>
      </c>
      <c r="M13" s="1"/>
      <c r="N13" s="1"/>
      <c r="O13" s="1">
        <v>10</v>
      </c>
    </row>
    <row r="14" spans="1:15" x14ac:dyDescent="0.25">
      <c r="A14" s="1"/>
      <c r="B14" s="1" t="s">
        <v>40</v>
      </c>
      <c r="C14" s="1">
        <v>0</v>
      </c>
      <c r="D14" s="1">
        <v>2</v>
      </c>
      <c r="E14" s="1">
        <v>0</v>
      </c>
      <c r="F14" s="1">
        <v>2</v>
      </c>
      <c r="G14" s="1">
        <v>27</v>
      </c>
      <c r="H14" s="1">
        <v>28</v>
      </c>
      <c r="I14" s="1">
        <v>-1</v>
      </c>
      <c r="J14" s="1">
        <v>3</v>
      </c>
      <c r="K14" s="1">
        <v>2</v>
      </c>
      <c r="L14" s="1">
        <v>2</v>
      </c>
      <c r="M14" s="1"/>
      <c r="N14" s="1"/>
      <c r="O14" s="1">
        <v>6</v>
      </c>
    </row>
    <row r="15" spans="1:15" x14ac:dyDescent="0.25">
      <c r="A15" s="1"/>
      <c r="B15" s="1" t="s">
        <v>37</v>
      </c>
      <c r="C15" s="1">
        <v>2</v>
      </c>
      <c r="D15" s="1">
        <v>2</v>
      </c>
      <c r="E15" s="1">
        <v>0</v>
      </c>
      <c r="F15" s="1">
        <v>4</v>
      </c>
      <c r="G15" s="1">
        <v>28</v>
      </c>
      <c r="H15" s="1">
        <v>24</v>
      </c>
      <c r="I15" s="1">
        <v>4</v>
      </c>
      <c r="J15" s="1">
        <v>1</v>
      </c>
      <c r="K15" s="1">
        <v>6</v>
      </c>
      <c r="L15" s="1"/>
      <c r="M15" s="1">
        <v>4</v>
      </c>
      <c r="N15" s="1">
        <v>4</v>
      </c>
      <c r="O15" s="1">
        <v>18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x14ac:dyDescent="0.25">
      <c r="A17" s="1">
        <v>3</v>
      </c>
      <c r="B17" s="1" t="s">
        <v>50</v>
      </c>
      <c r="C17" s="1">
        <v>0</v>
      </c>
      <c r="D17" s="1">
        <v>0</v>
      </c>
      <c r="E17" s="1">
        <v>2</v>
      </c>
      <c r="F17" s="1">
        <v>2</v>
      </c>
      <c r="G17" s="1">
        <v>25</v>
      </c>
      <c r="H17" s="1">
        <v>25</v>
      </c>
      <c r="I17" s="1">
        <v>0</v>
      </c>
      <c r="J17" s="1">
        <v>3</v>
      </c>
      <c r="K17" s="1">
        <v>2</v>
      </c>
      <c r="L17" s="1">
        <v>0</v>
      </c>
      <c r="M17" s="1"/>
      <c r="N17" s="1"/>
      <c r="O17" s="1">
        <v>4</v>
      </c>
      <c r="Q17" s="3"/>
    </row>
    <row r="18" spans="1:17" x14ac:dyDescent="0.25">
      <c r="A18" s="1"/>
      <c r="B18" s="1" t="s">
        <v>41</v>
      </c>
      <c r="C18" s="1">
        <v>2</v>
      </c>
      <c r="D18" s="1">
        <v>2</v>
      </c>
      <c r="E18" s="1">
        <v>0</v>
      </c>
      <c r="F18" s="1">
        <v>4</v>
      </c>
      <c r="G18" s="1">
        <v>25</v>
      </c>
      <c r="H18" s="1">
        <v>29</v>
      </c>
      <c r="I18" s="1">
        <v>-4</v>
      </c>
      <c r="J18" s="1">
        <v>2</v>
      </c>
      <c r="K18" s="1">
        <v>4</v>
      </c>
      <c r="L18" s="1">
        <v>0</v>
      </c>
      <c r="M18" s="1"/>
      <c r="N18" s="1"/>
      <c r="O18" s="1">
        <v>8</v>
      </c>
    </row>
    <row r="19" spans="1:17" x14ac:dyDescent="0.25">
      <c r="A19" s="1"/>
      <c r="B19" s="1" t="s">
        <v>49</v>
      </c>
      <c r="C19" s="1">
        <v>0</v>
      </c>
      <c r="D19" s="1">
        <v>2</v>
      </c>
      <c r="E19" s="1">
        <v>2</v>
      </c>
      <c r="F19" s="1">
        <v>4</v>
      </c>
      <c r="G19" s="1">
        <v>33</v>
      </c>
      <c r="H19" s="1">
        <v>24</v>
      </c>
      <c r="I19" s="1">
        <v>9</v>
      </c>
      <c r="J19" s="1">
        <v>1</v>
      </c>
      <c r="K19" s="1">
        <v>6</v>
      </c>
      <c r="L19" s="1"/>
      <c r="M19" s="1">
        <v>4</v>
      </c>
      <c r="N19" s="1">
        <v>0</v>
      </c>
      <c r="O19" s="1">
        <v>14</v>
      </c>
    </row>
    <row r="20" spans="1:17" x14ac:dyDescent="0.25">
      <c r="A20" s="1"/>
      <c r="B20" s="1" t="s">
        <v>69</v>
      </c>
      <c r="C20" s="1">
        <v>2</v>
      </c>
      <c r="D20" s="1">
        <v>0</v>
      </c>
      <c r="E20" s="1">
        <v>0</v>
      </c>
      <c r="F20" s="1">
        <v>2</v>
      </c>
      <c r="G20" s="1">
        <v>27</v>
      </c>
      <c r="H20" s="1">
        <v>32</v>
      </c>
      <c r="I20" s="1">
        <v>-5</v>
      </c>
      <c r="J20" s="1">
        <v>4</v>
      </c>
      <c r="K20" s="1">
        <v>0</v>
      </c>
      <c r="L20" s="1"/>
      <c r="M20" s="1"/>
      <c r="N20" s="1"/>
      <c r="O20" s="1">
        <v>2</v>
      </c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7" x14ac:dyDescent="0.25">
      <c r="A22" s="1">
        <v>4</v>
      </c>
      <c r="B22" s="1" t="s">
        <v>70</v>
      </c>
      <c r="C22" s="1">
        <v>0</v>
      </c>
      <c r="D22" s="1">
        <v>2</v>
      </c>
      <c r="E22" s="1">
        <v>2</v>
      </c>
      <c r="F22" s="1">
        <v>4</v>
      </c>
      <c r="G22" s="1">
        <v>23</v>
      </c>
      <c r="H22" s="1">
        <v>26</v>
      </c>
      <c r="I22" s="1">
        <v>-3</v>
      </c>
      <c r="J22" s="1">
        <v>2</v>
      </c>
      <c r="K22" s="1">
        <v>4</v>
      </c>
      <c r="L22" s="1">
        <v>2</v>
      </c>
      <c r="M22" s="1"/>
      <c r="N22" s="1"/>
      <c r="O22" s="1">
        <v>10</v>
      </c>
    </row>
    <row r="23" spans="1:17" x14ac:dyDescent="0.25">
      <c r="A23" s="1"/>
      <c r="B23" s="1" t="s">
        <v>39</v>
      </c>
      <c r="C23" s="1">
        <v>2</v>
      </c>
      <c r="D23" s="1">
        <v>2</v>
      </c>
      <c r="E23" s="1">
        <v>2</v>
      </c>
      <c r="F23" s="1">
        <v>6</v>
      </c>
      <c r="G23" s="1">
        <v>36</v>
      </c>
      <c r="H23" s="1">
        <v>16</v>
      </c>
      <c r="I23" s="1">
        <v>20</v>
      </c>
      <c r="J23" s="1">
        <v>1</v>
      </c>
      <c r="K23" s="1">
        <v>6</v>
      </c>
      <c r="L23" s="1"/>
      <c r="M23" s="1">
        <v>0</v>
      </c>
      <c r="N23" s="1"/>
      <c r="O23" s="1">
        <v>12</v>
      </c>
    </row>
    <row r="24" spans="1:17" x14ac:dyDescent="0.25">
      <c r="A24" s="1"/>
      <c r="B24" s="1" t="s">
        <v>42</v>
      </c>
      <c r="C24" s="1">
        <v>0</v>
      </c>
      <c r="D24" s="1">
        <v>0</v>
      </c>
      <c r="E24" s="1">
        <v>0</v>
      </c>
      <c r="F24" s="1">
        <v>0</v>
      </c>
      <c r="G24" s="1">
        <v>14</v>
      </c>
      <c r="H24" s="1">
        <v>26</v>
      </c>
      <c r="I24" s="1">
        <v>-12</v>
      </c>
      <c r="J24" s="1">
        <v>4</v>
      </c>
      <c r="K24" s="1">
        <v>0</v>
      </c>
      <c r="L24" s="1"/>
      <c r="M24" s="1"/>
      <c r="N24" s="1"/>
      <c r="O24" s="1">
        <v>0</v>
      </c>
    </row>
    <row r="25" spans="1:17" x14ac:dyDescent="0.25">
      <c r="A25" s="1"/>
      <c r="B25" s="1" t="s">
        <v>51</v>
      </c>
      <c r="C25" s="1">
        <v>2</v>
      </c>
      <c r="D25" s="1">
        <v>0</v>
      </c>
      <c r="E25" s="1">
        <v>0</v>
      </c>
      <c r="F25" s="1">
        <v>2</v>
      </c>
      <c r="G25" s="1">
        <v>24</v>
      </c>
      <c r="H25" s="1">
        <v>29</v>
      </c>
      <c r="I25" s="1">
        <v>-5</v>
      </c>
      <c r="J25" s="1">
        <v>3</v>
      </c>
      <c r="K25" s="1">
        <v>2</v>
      </c>
      <c r="L25" s="1">
        <v>2</v>
      </c>
      <c r="M25" s="1"/>
      <c r="N25" s="1"/>
      <c r="O25" s="1">
        <v>6</v>
      </c>
    </row>
    <row r="26" spans="1:17" x14ac:dyDescent="0.25">
      <c r="A26" s="1"/>
      <c r="B26" s="1"/>
      <c r="C26" s="1">
        <v>16</v>
      </c>
      <c r="D26" s="1">
        <v>16</v>
      </c>
      <c r="E26" s="1">
        <v>16</v>
      </c>
      <c r="F26" s="1">
        <v>48</v>
      </c>
      <c r="G26" s="1"/>
      <c r="H26" s="1"/>
      <c r="I26" s="1">
        <v>0</v>
      </c>
      <c r="J26" s="1">
        <v>40</v>
      </c>
      <c r="K26" s="1">
        <v>48</v>
      </c>
      <c r="L26" s="1">
        <v>8</v>
      </c>
      <c r="M26" s="1">
        <v>8</v>
      </c>
      <c r="N26" s="1">
        <v>4</v>
      </c>
      <c r="O26" s="1">
        <v>116</v>
      </c>
    </row>
    <row r="27" spans="1:17" x14ac:dyDescent="0.25">
      <c r="A27" s="1"/>
      <c r="B27" s="1"/>
      <c r="C27" s="1">
        <v>16</v>
      </c>
      <c r="D27" s="1">
        <v>16</v>
      </c>
      <c r="E27" s="1">
        <v>16</v>
      </c>
      <c r="F27" s="1">
        <v>48</v>
      </c>
      <c r="G27" s="1">
        <v>411</v>
      </c>
      <c r="H27" s="1">
        <v>411</v>
      </c>
      <c r="I27" s="1">
        <v>0</v>
      </c>
      <c r="J27" s="1">
        <v>40</v>
      </c>
      <c r="K27" s="1">
        <v>48</v>
      </c>
      <c r="L27" s="1">
        <v>8</v>
      </c>
      <c r="M27" s="1">
        <v>8</v>
      </c>
      <c r="N27" s="1">
        <v>4</v>
      </c>
      <c r="O27" s="1">
        <v>116</v>
      </c>
    </row>
    <row r="32" spans="1:17" ht="33.7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1"/>
  <sheetViews>
    <sheetView workbookViewId="0">
      <selection activeCell="B5" sqref="B5"/>
    </sheetView>
  </sheetViews>
  <sheetFormatPr baseColWidth="10" defaultRowHeight="15" x14ac:dyDescent="0.25"/>
  <cols>
    <col min="1" max="1" width="22.5703125" customWidth="1"/>
    <col min="15" max="15" width="19.85546875" customWidth="1"/>
  </cols>
  <sheetData>
    <row r="1" spans="1:17" x14ac:dyDescent="0.25">
      <c r="A1" s="10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 t="s">
        <v>2</v>
      </c>
      <c r="M3" s="1"/>
      <c r="N3" s="1"/>
      <c r="O3" s="1"/>
      <c r="P3" s="1"/>
      <c r="Q3" s="1"/>
    </row>
    <row r="4" spans="1:17" x14ac:dyDescent="0.2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 t="s">
        <v>4</v>
      </c>
      <c r="M4" s="1"/>
      <c r="N4" s="1"/>
      <c r="O4" s="1"/>
      <c r="P4" s="1"/>
      <c r="Q4" s="1"/>
    </row>
    <row r="5" spans="1:17" ht="30" x14ac:dyDescent="0.25">
      <c r="A5" s="4"/>
      <c r="B5" s="4" t="s">
        <v>17</v>
      </c>
      <c r="C5" s="4" t="s">
        <v>5</v>
      </c>
      <c r="D5" s="4" t="s">
        <v>6</v>
      </c>
      <c r="E5" s="4" t="s">
        <v>7</v>
      </c>
      <c r="F5" s="4" t="s">
        <v>8</v>
      </c>
      <c r="G5" s="29" t="s">
        <v>27</v>
      </c>
      <c r="H5" s="35" t="s">
        <v>9</v>
      </c>
      <c r="I5" s="30" t="s">
        <v>10</v>
      </c>
      <c r="J5" s="4" t="s">
        <v>11</v>
      </c>
      <c r="K5" s="31" t="s">
        <v>12</v>
      </c>
      <c r="L5" s="4" t="s">
        <v>13</v>
      </c>
      <c r="M5" s="4" t="s">
        <v>14</v>
      </c>
      <c r="N5" s="4" t="s">
        <v>15</v>
      </c>
      <c r="O5" s="32" t="s">
        <v>16</v>
      </c>
      <c r="P5" s="4"/>
      <c r="Q5" s="4"/>
    </row>
    <row r="6" spans="1:17" x14ac:dyDescent="0.25">
      <c r="A6" s="1" t="s">
        <v>53</v>
      </c>
      <c r="B6" s="1"/>
      <c r="C6" s="1">
        <v>0</v>
      </c>
      <c r="D6" s="1">
        <v>0</v>
      </c>
      <c r="E6" s="1">
        <v>0</v>
      </c>
      <c r="F6" s="1">
        <v>0</v>
      </c>
      <c r="G6" s="1">
        <v>9</v>
      </c>
      <c r="H6" s="1">
        <v>34</v>
      </c>
      <c r="I6" s="1">
        <v>-25</v>
      </c>
      <c r="J6" s="1">
        <v>4</v>
      </c>
      <c r="K6" s="1">
        <v>0</v>
      </c>
      <c r="L6" s="1"/>
      <c r="M6" s="1"/>
      <c r="N6" s="1"/>
      <c r="O6" s="1">
        <v>0</v>
      </c>
      <c r="P6" s="1"/>
      <c r="Q6" s="1"/>
    </row>
    <row r="7" spans="1:17" x14ac:dyDescent="0.25">
      <c r="A7" s="1" t="s">
        <v>71</v>
      </c>
      <c r="B7" s="1"/>
      <c r="C7" s="1">
        <v>2</v>
      </c>
      <c r="D7" s="1">
        <v>0</v>
      </c>
      <c r="E7" s="1">
        <v>0</v>
      </c>
      <c r="F7" s="1">
        <v>2</v>
      </c>
      <c r="G7" s="1">
        <v>23</v>
      </c>
      <c r="H7" s="1">
        <v>21</v>
      </c>
      <c r="I7" s="1">
        <v>2</v>
      </c>
      <c r="J7" s="1">
        <v>3</v>
      </c>
      <c r="K7" s="1">
        <v>2</v>
      </c>
      <c r="L7" s="1">
        <v>2</v>
      </c>
      <c r="M7" s="1"/>
      <c r="N7" s="1"/>
      <c r="O7" s="1">
        <v>6</v>
      </c>
      <c r="P7" s="1"/>
      <c r="Q7" s="1"/>
    </row>
    <row r="8" spans="1:17" x14ac:dyDescent="0.25">
      <c r="A8" s="1" t="s">
        <v>63</v>
      </c>
      <c r="B8" s="1"/>
      <c r="C8" s="1">
        <v>0</v>
      </c>
      <c r="D8" s="1">
        <v>2</v>
      </c>
      <c r="E8" s="1">
        <v>2</v>
      </c>
      <c r="F8" s="1">
        <v>4</v>
      </c>
      <c r="G8" s="1">
        <v>26</v>
      </c>
      <c r="H8" s="1">
        <v>22</v>
      </c>
      <c r="I8" s="1">
        <v>4</v>
      </c>
      <c r="J8" s="1">
        <v>2</v>
      </c>
      <c r="K8" s="1">
        <v>4</v>
      </c>
      <c r="L8" s="1">
        <v>0</v>
      </c>
      <c r="M8" s="1"/>
      <c r="N8" s="1"/>
      <c r="O8" s="1">
        <v>8</v>
      </c>
      <c r="P8" s="1"/>
      <c r="Q8" s="1"/>
    </row>
    <row r="9" spans="1:17" x14ac:dyDescent="0.25">
      <c r="A9" s="1" t="s">
        <v>68</v>
      </c>
      <c r="B9" s="1"/>
      <c r="C9" s="1">
        <v>2</v>
      </c>
      <c r="D9" s="1">
        <v>2</v>
      </c>
      <c r="E9" s="1">
        <v>2</v>
      </c>
      <c r="F9" s="1">
        <v>6</v>
      </c>
      <c r="G9" s="1">
        <v>33</v>
      </c>
      <c r="H9" s="1">
        <v>14</v>
      </c>
      <c r="I9" s="1">
        <v>19</v>
      </c>
      <c r="J9" s="1">
        <v>1</v>
      </c>
      <c r="K9" s="1">
        <v>6</v>
      </c>
      <c r="L9" s="1"/>
      <c r="M9" s="1">
        <v>0</v>
      </c>
      <c r="N9" s="1"/>
      <c r="O9" s="1">
        <v>12</v>
      </c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 t="s">
        <v>54</v>
      </c>
      <c r="B11" s="1"/>
      <c r="C11" s="1">
        <v>2</v>
      </c>
      <c r="D11" s="1">
        <v>2</v>
      </c>
      <c r="E11" s="1">
        <v>0</v>
      </c>
      <c r="F11" s="1">
        <v>4</v>
      </c>
      <c r="G11" s="1">
        <v>21</v>
      </c>
      <c r="H11" s="1">
        <v>23</v>
      </c>
      <c r="I11" s="1">
        <v>-2</v>
      </c>
      <c r="J11" s="1">
        <v>2</v>
      </c>
      <c r="K11" s="1">
        <v>4</v>
      </c>
      <c r="L11" s="1">
        <v>0</v>
      </c>
      <c r="M11" s="1"/>
      <c r="N11" s="1"/>
      <c r="O11" s="1">
        <v>8</v>
      </c>
      <c r="P11" s="1"/>
      <c r="Q11" s="1"/>
    </row>
    <row r="12" spans="1:17" x14ac:dyDescent="0.25">
      <c r="A12" s="1" t="s">
        <v>57</v>
      </c>
      <c r="B12" s="1"/>
      <c r="C12" s="1">
        <v>0</v>
      </c>
      <c r="D12" s="1">
        <v>0</v>
      </c>
      <c r="E12" s="1">
        <v>2</v>
      </c>
      <c r="F12" s="1">
        <v>2</v>
      </c>
      <c r="G12" s="1">
        <v>21</v>
      </c>
      <c r="H12" s="1">
        <v>28</v>
      </c>
      <c r="I12" s="1">
        <v>-7</v>
      </c>
      <c r="J12" s="1">
        <v>3</v>
      </c>
      <c r="K12" s="1">
        <v>2</v>
      </c>
      <c r="L12" s="1">
        <v>2</v>
      </c>
      <c r="M12" s="1"/>
      <c r="N12" s="1"/>
      <c r="O12" s="1">
        <v>6</v>
      </c>
      <c r="P12" s="1"/>
      <c r="Q12" s="1"/>
    </row>
    <row r="13" spans="1:17" x14ac:dyDescent="0.25">
      <c r="A13" s="1" t="s">
        <v>64</v>
      </c>
      <c r="B13" s="1"/>
      <c r="C13" s="1">
        <v>0</v>
      </c>
      <c r="D13" s="1">
        <v>0</v>
      </c>
      <c r="E13" s="1">
        <v>0</v>
      </c>
      <c r="F13" s="1">
        <v>0</v>
      </c>
      <c r="G13" s="1">
        <v>18</v>
      </c>
      <c r="H13" s="1">
        <v>24</v>
      </c>
      <c r="I13" s="1">
        <v>-6</v>
      </c>
      <c r="J13" s="1">
        <v>4</v>
      </c>
      <c r="K13" s="1">
        <v>0</v>
      </c>
      <c r="L13" s="1"/>
      <c r="M13" s="1"/>
      <c r="N13" s="1"/>
      <c r="O13" s="1">
        <v>0</v>
      </c>
      <c r="P13" s="1"/>
      <c r="Q13" s="1"/>
    </row>
    <row r="14" spans="1:17" x14ac:dyDescent="0.25">
      <c r="A14" s="1" t="s">
        <v>67</v>
      </c>
      <c r="B14" s="1"/>
      <c r="C14" s="1">
        <v>2</v>
      </c>
      <c r="D14" s="1">
        <v>2</v>
      </c>
      <c r="E14" s="1">
        <v>2</v>
      </c>
      <c r="F14" s="1">
        <v>6</v>
      </c>
      <c r="G14" s="1">
        <v>33</v>
      </c>
      <c r="H14" s="1">
        <v>18</v>
      </c>
      <c r="I14" s="1">
        <v>15</v>
      </c>
      <c r="J14" s="1">
        <v>1</v>
      </c>
      <c r="K14" s="1">
        <v>6</v>
      </c>
      <c r="L14" s="1"/>
      <c r="M14" s="1">
        <v>4</v>
      </c>
      <c r="N14" s="1">
        <v>0</v>
      </c>
      <c r="O14" s="1">
        <v>16</v>
      </c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 t="s">
        <v>55</v>
      </c>
      <c r="B16" s="1"/>
      <c r="C16" s="1">
        <v>2</v>
      </c>
      <c r="D16" s="1">
        <v>2</v>
      </c>
      <c r="E16" s="1">
        <v>2</v>
      </c>
      <c r="F16" s="1">
        <v>6</v>
      </c>
      <c r="G16" s="1">
        <v>33</v>
      </c>
      <c r="H16" s="1">
        <v>17</v>
      </c>
      <c r="I16" s="1">
        <v>16</v>
      </c>
      <c r="J16" s="1">
        <v>1</v>
      </c>
      <c r="K16" s="1">
        <v>6</v>
      </c>
      <c r="L16" s="1"/>
      <c r="M16" s="1">
        <v>0</v>
      </c>
      <c r="N16" s="1"/>
      <c r="O16" s="1">
        <v>12</v>
      </c>
      <c r="P16" s="1"/>
      <c r="Q16" s="1"/>
    </row>
    <row r="17" spans="1:17" x14ac:dyDescent="0.25">
      <c r="A17" s="1" t="s">
        <v>60</v>
      </c>
      <c r="B17" s="1"/>
      <c r="C17" s="1">
        <v>0</v>
      </c>
      <c r="D17" s="1">
        <v>0</v>
      </c>
      <c r="E17" s="1">
        <v>0</v>
      </c>
      <c r="F17" s="1">
        <v>0</v>
      </c>
      <c r="G17" s="1">
        <v>19</v>
      </c>
      <c r="H17" s="1">
        <v>36</v>
      </c>
      <c r="I17" s="1">
        <v>-17</v>
      </c>
      <c r="J17" s="1">
        <v>4</v>
      </c>
      <c r="K17" s="1">
        <v>0</v>
      </c>
      <c r="L17" s="1"/>
      <c r="M17" s="1"/>
      <c r="N17" s="1"/>
      <c r="O17" s="1">
        <v>0</v>
      </c>
      <c r="P17" s="1"/>
      <c r="Q17" s="1"/>
    </row>
    <row r="18" spans="1:17" x14ac:dyDescent="0.25">
      <c r="A18" s="1" t="s">
        <v>61</v>
      </c>
      <c r="B18" s="1"/>
      <c r="C18" s="1">
        <v>0</v>
      </c>
      <c r="D18" s="1">
        <v>0</v>
      </c>
      <c r="E18" s="1">
        <v>2</v>
      </c>
      <c r="F18" s="1">
        <v>2</v>
      </c>
      <c r="G18" s="1">
        <v>16</v>
      </c>
      <c r="H18" s="1">
        <v>33</v>
      </c>
      <c r="I18" s="1">
        <v>-17</v>
      </c>
      <c r="J18" s="1">
        <v>3</v>
      </c>
      <c r="K18" s="1">
        <v>2</v>
      </c>
      <c r="L18" s="1">
        <v>0</v>
      </c>
      <c r="M18" s="1"/>
      <c r="N18" s="1"/>
      <c r="O18" s="1">
        <v>4</v>
      </c>
      <c r="P18" s="1"/>
      <c r="Q18" s="1"/>
    </row>
    <row r="19" spans="1:17" x14ac:dyDescent="0.25">
      <c r="A19" s="1" t="s">
        <v>66</v>
      </c>
      <c r="B19" s="1"/>
      <c r="C19" s="1">
        <v>2</v>
      </c>
      <c r="D19" s="1">
        <v>2</v>
      </c>
      <c r="E19" s="1">
        <v>0</v>
      </c>
      <c r="F19" s="1">
        <v>4</v>
      </c>
      <c r="G19" s="1">
        <v>33</v>
      </c>
      <c r="H19" s="1">
        <v>15</v>
      </c>
      <c r="I19" s="1">
        <v>18</v>
      </c>
      <c r="J19" s="1">
        <v>2</v>
      </c>
      <c r="K19" s="1">
        <v>4</v>
      </c>
      <c r="L19" s="1">
        <v>0</v>
      </c>
      <c r="M19" s="1"/>
      <c r="N19" s="1"/>
      <c r="O19" s="1">
        <v>8</v>
      </c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 t="s">
        <v>56</v>
      </c>
      <c r="B21" s="1"/>
      <c r="C21" s="1">
        <v>2</v>
      </c>
      <c r="D21" s="1">
        <v>2</v>
      </c>
      <c r="E21" s="1">
        <v>0</v>
      </c>
      <c r="F21" s="1">
        <v>4</v>
      </c>
      <c r="G21" s="1">
        <v>26</v>
      </c>
      <c r="H21" s="1">
        <v>17</v>
      </c>
      <c r="I21" s="1">
        <v>9</v>
      </c>
      <c r="J21" s="1">
        <v>1</v>
      </c>
      <c r="K21" s="1">
        <v>6</v>
      </c>
      <c r="L21" s="1"/>
      <c r="M21" s="1">
        <v>4</v>
      </c>
      <c r="N21" s="1">
        <v>4</v>
      </c>
      <c r="O21" s="1">
        <v>18</v>
      </c>
      <c r="P21" s="1"/>
      <c r="Q21" s="1"/>
    </row>
    <row r="22" spans="1:17" x14ac:dyDescent="0.25">
      <c r="A22" s="1" t="s">
        <v>59</v>
      </c>
      <c r="B22" s="1"/>
      <c r="C22" s="1">
        <v>0</v>
      </c>
      <c r="D22" s="1">
        <v>2</v>
      </c>
      <c r="E22" s="1">
        <v>0</v>
      </c>
      <c r="F22" s="1">
        <v>2</v>
      </c>
      <c r="G22" s="1">
        <v>20</v>
      </c>
      <c r="H22" s="1">
        <v>24</v>
      </c>
      <c r="I22" s="1">
        <v>-4</v>
      </c>
      <c r="J22" s="1">
        <v>3</v>
      </c>
      <c r="K22" s="1">
        <v>2</v>
      </c>
      <c r="L22" s="1">
        <v>2</v>
      </c>
      <c r="M22" s="1"/>
      <c r="N22" s="1"/>
      <c r="O22" s="1">
        <v>6</v>
      </c>
      <c r="P22" s="1"/>
      <c r="Q22" s="1"/>
    </row>
    <row r="23" spans="1:17" x14ac:dyDescent="0.25">
      <c r="A23" s="1" t="s">
        <v>62</v>
      </c>
      <c r="B23" s="1"/>
      <c r="C23" s="1">
        <v>2</v>
      </c>
      <c r="D23" s="1">
        <v>0</v>
      </c>
      <c r="E23" s="1">
        <v>2</v>
      </c>
      <c r="F23" s="1">
        <v>4</v>
      </c>
      <c r="G23" s="1">
        <v>26</v>
      </c>
      <c r="H23" s="1">
        <v>24</v>
      </c>
      <c r="I23" s="1">
        <v>2</v>
      </c>
      <c r="J23" s="1">
        <v>2</v>
      </c>
      <c r="K23" s="1">
        <v>4</v>
      </c>
      <c r="L23" s="1">
        <v>2</v>
      </c>
      <c r="M23" s="1"/>
      <c r="N23" s="1"/>
      <c r="O23" s="1">
        <v>10</v>
      </c>
      <c r="P23" s="1"/>
      <c r="Q23" s="1"/>
    </row>
    <row r="24" spans="1:17" x14ac:dyDescent="0.25">
      <c r="A24" s="1" t="s">
        <v>65</v>
      </c>
      <c r="B24" s="1"/>
      <c r="C24" s="1">
        <v>0</v>
      </c>
      <c r="D24" s="1">
        <v>0</v>
      </c>
      <c r="E24" s="1">
        <v>2</v>
      </c>
      <c r="F24" s="1">
        <v>2</v>
      </c>
      <c r="G24" s="1">
        <v>21</v>
      </c>
      <c r="H24" s="1">
        <v>28</v>
      </c>
      <c r="I24" s="1">
        <v>-7</v>
      </c>
      <c r="J24" s="1">
        <v>4</v>
      </c>
      <c r="K24" s="1">
        <v>0</v>
      </c>
      <c r="L24" s="1"/>
      <c r="M24" s="1"/>
      <c r="N24" s="1"/>
      <c r="O24" s="1">
        <v>2</v>
      </c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1"/>
  <sheetViews>
    <sheetView workbookViewId="0">
      <selection activeCell="A27" sqref="A27"/>
    </sheetView>
  </sheetViews>
  <sheetFormatPr baseColWidth="10" defaultRowHeight="15" x14ac:dyDescent="0.25"/>
  <cols>
    <col min="1" max="1" width="10.42578125" customWidth="1"/>
    <col min="2" max="2" width="17.5703125" customWidth="1"/>
    <col min="5" max="5" width="12.42578125" bestFit="1" customWidth="1"/>
    <col min="15" max="15" width="18.5703125" customWidth="1"/>
  </cols>
  <sheetData>
    <row r="1" spans="1:17" x14ac:dyDescent="0.25">
      <c r="A1" s="10"/>
      <c r="B1" s="1"/>
      <c r="C1" s="1" t="s">
        <v>72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 t="s">
        <v>73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2" t="s">
        <v>74</v>
      </c>
      <c r="D3" s="1"/>
      <c r="E3" s="1"/>
      <c r="F3" s="1"/>
      <c r="G3" s="1"/>
      <c r="H3" s="1"/>
      <c r="I3" s="1"/>
      <c r="J3" s="1"/>
      <c r="K3" s="1"/>
      <c r="L3" s="1" t="s">
        <v>75</v>
      </c>
      <c r="M3" s="1"/>
      <c r="N3" s="1"/>
      <c r="O3" s="1"/>
      <c r="P3" s="1"/>
      <c r="Q3" s="1"/>
    </row>
    <row r="4" spans="1:17" ht="15.75" thickBot="1" x14ac:dyDescent="0.3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 t="s">
        <v>4</v>
      </c>
      <c r="M4" s="1"/>
      <c r="N4" s="1"/>
      <c r="O4" s="1"/>
      <c r="P4" s="1"/>
      <c r="Q4" s="1"/>
    </row>
    <row r="5" spans="1:17" ht="30.75" thickBot="1" x14ac:dyDescent="0.3">
      <c r="A5" s="4"/>
      <c r="B5" s="60" t="s">
        <v>86</v>
      </c>
      <c r="C5" s="4" t="s">
        <v>5</v>
      </c>
      <c r="D5" s="4" t="s">
        <v>6</v>
      </c>
      <c r="E5" s="4" t="s">
        <v>7</v>
      </c>
      <c r="F5" s="4" t="s">
        <v>8</v>
      </c>
      <c r="G5" s="29" t="s">
        <v>76</v>
      </c>
      <c r="H5" s="35" t="s">
        <v>9</v>
      </c>
      <c r="I5" s="30" t="s">
        <v>10</v>
      </c>
      <c r="J5" s="4" t="s">
        <v>11</v>
      </c>
      <c r="K5" s="31" t="s">
        <v>12</v>
      </c>
      <c r="L5" s="4" t="s">
        <v>13</v>
      </c>
      <c r="M5" s="4" t="s">
        <v>14</v>
      </c>
      <c r="N5" s="4" t="s">
        <v>15</v>
      </c>
      <c r="O5" s="32" t="s">
        <v>16</v>
      </c>
      <c r="P5" s="4"/>
      <c r="Q5" s="4"/>
    </row>
    <row r="6" spans="1:17" ht="16.5" customHeight="1" x14ac:dyDescent="0.25">
      <c r="A6" s="119">
        <v>2</v>
      </c>
      <c r="B6" s="66" t="s">
        <v>53</v>
      </c>
      <c r="C6" s="67">
        <v>2</v>
      </c>
      <c r="D6" s="67">
        <v>0</v>
      </c>
      <c r="E6" s="67">
        <v>0</v>
      </c>
      <c r="F6" s="68">
        <f>IF((C6=""),"",SUM(C6:E6))</f>
        <v>2</v>
      </c>
      <c r="G6" s="69">
        <v>20</v>
      </c>
      <c r="H6" s="67">
        <v>25</v>
      </c>
      <c r="I6" s="67">
        <f>IF((F6=""),"",(G6-H6))</f>
        <v>-5</v>
      </c>
      <c r="J6" s="70">
        <v>3</v>
      </c>
      <c r="K6" s="71">
        <v>2</v>
      </c>
      <c r="L6" s="72">
        <v>0</v>
      </c>
      <c r="M6" s="67" t="str">
        <f>IF((J6=""),"",IF(OR(J6=2,J6=3,J6=4),"",IF(('[1]1A_F'!$I$8=""),"",VLOOKUP(B6,'[1]1A_C.'!$I$65:$J$68,2,0))))</f>
        <v/>
      </c>
      <c r="N6" s="67" t="str">
        <f>IF(OR(M6="",M6=0),"",VLOOKUP(B6,'[1]1A_C.'!$N$65:$O$66,2,0))</f>
        <v/>
      </c>
      <c r="O6" s="67">
        <f>IF((E6=""),"",SUM(F6,K6,L6,M6,N6))</f>
        <v>4</v>
      </c>
      <c r="P6" s="61"/>
      <c r="Q6" s="1"/>
    </row>
    <row r="7" spans="1:17" ht="16.5" customHeight="1" x14ac:dyDescent="0.25">
      <c r="A7" s="120"/>
      <c r="B7" s="66" t="s">
        <v>59</v>
      </c>
      <c r="C7" s="67">
        <v>0</v>
      </c>
      <c r="D7" s="67">
        <f>'[1]1A_C.'!G28</f>
        <v>0</v>
      </c>
      <c r="E7" s="67">
        <f>'[1]1A_C.'!I28</f>
        <v>0</v>
      </c>
      <c r="F7" s="68">
        <v>0</v>
      </c>
      <c r="G7" s="69">
        <v>14</v>
      </c>
      <c r="H7" s="67">
        <v>30</v>
      </c>
      <c r="I7" s="67">
        <f>IF((F7=""),"",(G7-H7))</f>
        <v>-16</v>
      </c>
      <c r="J7" s="70">
        <v>4</v>
      </c>
      <c r="K7" s="71">
        <v>0</v>
      </c>
      <c r="L7" s="72"/>
      <c r="M7" s="67" t="str">
        <f>IF((J7=""),"",IF(OR(J7=2,J7=3,J7=4),"",IF(('[1]1A_F'!$I$8=""),"",VLOOKUP(B7,'[1]1A_C.'!$I$65:$J$68,2,0))))</f>
        <v/>
      </c>
      <c r="N7" s="67" t="str">
        <f>IF(OR(M7="",M7=0),"",VLOOKUP(B7,'[1]1A_C.'!$N$65:$O$66,2,0))</f>
        <v/>
      </c>
      <c r="O7" s="67">
        <f>IF((E7=""),"",SUM(F7,K7,L7,M7,N7))</f>
        <v>0</v>
      </c>
      <c r="P7" s="67"/>
      <c r="Q7" s="1"/>
    </row>
    <row r="8" spans="1:17" ht="16.5" customHeight="1" x14ac:dyDescent="0.25">
      <c r="A8" s="120"/>
      <c r="B8" s="66" t="s">
        <v>87</v>
      </c>
      <c r="C8" s="67">
        <f>'[1]1A_C.'!E29</f>
        <v>0</v>
      </c>
      <c r="D8" s="67">
        <v>2</v>
      </c>
      <c r="E8" s="67">
        <v>2</v>
      </c>
      <c r="F8" s="68">
        <f>IF((C8=""),"",SUM(C8:E8))</f>
        <v>4</v>
      </c>
      <c r="G8" s="69">
        <v>27</v>
      </c>
      <c r="H8" s="67">
        <v>22</v>
      </c>
      <c r="I8" s="67">
        <f>IF((F8=""),"",(G8-H8))</f>
        <v>5</v>
      </c>
      <c r="J8" s="70">
        <v>2</v>
      </c>
      <c r="K8" s="71">
        <f t="shared" ref="K8:K9" si="0">IF((J8=""),"",IF((J8=1),6,IF((J8=2),4,IF((J8=4),0,IF(AND(B$10="OFFICE",J8=3),0,2)))))</f>
        <v>4</v>
      </c>
      <c r="L8" s="72">
        <v>2</v>
      </c>
      <c r="M8" s="67" t="str">
        <f>IF((J8=""),"",IF(OR(J8=2,J8=3,J8=4),"",IF(('[1]1A_F'!$I$8=""),"",VLOOKUP(B8,'[1]1A_C.'!$I$65:$J$68,2,0))))</f>
        <v/>
      </c>
      <c r="N8" s="67" t="str">
        <f>IF(OR(M8="",M8=0),"",VLOOKUP(B8,'[1]1A_C.'!$N$65:$O$66,2,0))</f>
        <v/>
      </c>
      <c r="O8" s="67">
        <f>IF((E8=""),"",SUM(F8,K8,L8,M8,N8))</f>
        <v>10</v>
      </c>
      <c r="P8" s="67"/>
      <c r="Q8" s="1"/>
    </row>
    <row r="9" spans="1:17" ht="17.25" customHeight="1" thickBot="1" x14ac:dyDescent="0.3">
      <c r="A9" s="121"/>
      <c r="B9" s="73" t="s">
        <v>66</v>
      </c>
      <c r="C9" s="74">
        <v>2</v>
      </c>
      <c r="D9" s="74">
        <v>2</v>
      </c>
      <c r="E9" s="74">
        <v>2</v>
      </c>
      <c r="F9" s="75">
        <f>IF((C9=""),"",SUM(C9:E9))</f>
        <v>6</v>
      </c>
      <c r="G9" s="76">
        <v>32</v>
      </c>
      <c r="H9" s="74">
        <v>16</v>
      </c>
      <c r="I9" s="74">
        <f>IF((F9=""),"",(G9-H9))</f>
        <v>16</v>
      </c>
      <c r="J9" s="77">
        <v>1</v>
      </c>
      <c r="K9" s="78">
        <f t="shared" si="0"/>
        <v>6</v>
      </c>
      <c r="L9" s="79" t="str">
        <f>IF((J7=""),"",IF(OR(J7=1,J7=4),"",IF(('[1]1A_F'!$D$14=""),"",VLOOKUP(B7,'[1]1A_C.'!$D$65:$E$72,2,0))))</f>
        <v/>
      </c>
      <c r="M9" s="74">
        <v>4</v>
      </c>
      <c r="N9" s="74">
        <v>0</v>
      </c>
      <c r="O9" s="74">
        <f>IF((E9=""),"",SUM(F9,K9,L9,M9,N9))</f>
        <v>16</v>
      </c>
      <c r="P9" s="74"/>
      <c r="Q9" s="1"/>
    </row>
    <row r="10" spans="1:17" ht="24" thickBot="1" x14ac:dyDescent="0.3">
      <c r="A10" s="80"/>
      <c r="B10" s="81"/>
      <c r="C10" s="82"/>
      <c r="D10" s="82"/>
      <c r="E10" s="82"/>
      <c r="F10" s="83"/>
      <c r="G10" s="84"/>
      <c r="H10" s="82"/>
      <c r="I10" s="82"/>
      <c r="J10" s="82"/>
      <c r="K10" s="4"/>
      <c r="L10" s="4"/>
      <c r="M10" s="4"/>
      <c r="N10" s="4"/>
      <c r="O10" s="4"/>
      <c r="P10" s="4"/>
      <c r="Q10" s="1"/>
    </row>
    <row r="11" spans="1:17" ht="16.5" customHeight="1" x14ac:dyDescent="0.25">
      <c r="A11" s="119">
        <v>2</v>
      </c>
      <c r="B11" s="85" t="s">
        <v>54</v>
      </c>
      <c r="C11" s="61">
        <f>'[1]1A_C.'!E31</f>
        <v>2</v>
      </c>
      <c r="D11" s="61">
        <v>0</v>
      </c>
      <c r="E11" s="61">
        <f>'[1]1A_C.'!I31</f>
        <v>2</v>
      </c>
      <c r="F11" s="62">
        <f>IF((C11=""),"",SUM(C11:E11))</f>
        <v>4</v>
      </c>
      <c r="G11" s="63">
        <v>29</v>
      </c>
      <c r="H11" s="61">
        <v>15</v>
      </c>
      <c r="I11" s="61">
        <f>IF((F11=""),"",(G11-H11))</f>
        <v>14</v>
      </c>
      <c r="J11" s="64">
        <f>'[1]1A_C.'!Y31</f>
        <v>1</v>
      </c>
      <c r="K11" s="65">
        <f>IF((J11=""),"",IF((J11=1),6,IF((J11=2),4,IF((J11=4),0,IF(AND(B$15="OFFICE",J11=3),0,2)))))</f>
        <v>6</v>
      </c>
      <c r="L11" s="61" t="str">
        <f>IF((J11=""),"",IF(OR(J11=1,J11=4),"",IF(('[1]1A_F'!$D$14=""),"",VLOOKUP(B11,'[1]1A_C.'!$D$65:$E$72,2,0))))</f>
        <v/>
      </c>
      <c r="M11" s="86">
        <v>0</v>
      </c>
      <c r="N11" s="61" t="str">
        <f>IF(OR(M11="",M11=0),"",VLOOKUP(B11,'[1]1A_C.'!$N$65:$O$66,2,0))</f>
        <v/>
      </c>
      <c r="O11" s="61">
        <f>IF((E11=""),"",SUM(F11,K11,L11,M11,N11))</f>
        <v>10</v>
      </c>
      <c r="P11" s="61"/>
      <c r="Q11" s="1"/>
    </row>
    <row r="12" spans="1:17" ht="16.5" customHeight="1" x14ac:dyDescent="0.25">
      <c r="A12" s="120"/>
      <c r="B12" s="87" t="s">
        <v>39</v>
      </c>
      <c r="C12" s="67">
        <v>0</v>
      </c>
      <c r="D12" s="67">
        <v>2</v>
      </c>
      <c r="E12" s="67">
        <v>2</v>
      </c>
      <c r="F12" s="68">
        <f>IF((C12=""),"",SUM(C12:E12))</f>
        <v>4</v>
      </c>
      <c r="G12" s="69">
        <v>29</v>
      </c>
      <c r="H12" s="67">
        <v>17</v>
      </c>
      <c r="I12" s="67">
        <f>IF((F12=""),"",(G12-H12))</f>
        <v>12</v>
      </c>
      <c r="J12" s="70">
        <v>2</v>
      </c>
      <c r="K12" s="71">
        <f t="shared" ref="K12:K13" si="1">IF((J12=""),"",IF((J12=1),6,IF((J12=2),4,IF((J12=4),0,IF(AND(B$15="OFFICE",J12=3),0,2)))))</f>
        <v>4</v>
      </c>
      <c r="L12" s="67">
        <f>IF((J12=""),"",IF(OR(J12=1,J12=4),"",IF(('[1]1A_F'!$D$14=""),"",VLOOKUP(B12,'[1]1A_C.'!$D$65:$E$72,2,0))))</f>
        <v>2</v>
      </c>
      <c r="M12" s="88" t="str">
        <f>IF((J12=""),"",IF(OR(J12=2,J12=3,J12=4),"",IF(('[1]1A_F'!$I$8=""),"",VLOOKUP(B12,'[1]1A_C.'!$I$65:$J$68,2,0))))</f>
        <v/>
      </c>
      <c r="N12" s="67" t="str">
        <f>IF(OR(M12="",M12=0),"",VLOOKUP(B12,'[1]1A_C.'!$N$65:$O$66,2,0))</f>
        <v/>
      </c>
      <c r="O12" s="67">
        <f>IF((E12=""),"",SUM(F12,K12,L12,M12,N12))</f>
        <v>10</v>
      </c>
      <c r="P12" s="67"/>
      <c r="Q12" s="1"/>
    </row>
    <row r="13" spans="1:17" ht="16.5" customHeight="1" x14ac:dyDescent="0.25">
      <c r="A13" s="120"/>
      <c r="B13" s="87" t="s">
        <v>49</v>
      </c>
      <c r="C13" s="67">
        <v>2</v>
      </c>
      <c r="D13" s="67">
        <v>2</v>
      </c>
      <c r="E13" s="67">
        <v>0</v>
      </c>
      <c r="F13" s="68">
        <f>IF((C13=""),"",SUM(C13:E13))</f>
        <v>4</v>
      </c>
      <c r="G13" s="69">
        <v>17</v>
      </c>
      <c r="H13" s="67">
        <v>22</v>
      </c>
      <c r="I13" s="67">
        <f>IF((F13=""),"",(G13-H13))</f>
        <v>-5</v>
      </c>
      <c r="J13" s="70">
        <v>3</v>
      </c>
      <c r="K13" s="71">
        <f t="shared" si="1"/>
        <v>2</v>
      </c>
      <c r="L13" s="67">
        <v>0</v>
      </c>
      <c r="M13" s="88" t="str">
        <f>IF((J13=""),"",IF(OR(J13=2,J13=3,J13=4),"",IF(('[1]1A_F'!$I$8=""),"",VLOOKUP(B13,'[1]1A_C.'!$I$65:$J$68,2,0))))</f>
        <v/>
      </c>
      <c r="N13" s="67" t="str">
        <f>IF(OR(M13="",M13=0),"",VLOOKUP(B13,'[1]1A_C.'!$N$65:$O$66,2,0))</f>
        <v/>
      </c>
      <c r="O13" s="67">
        <f>IF((E13=""),"",SUM(F13,K13,L13,M13,N13))</f>
        <v>6</v>
      </c>
      <c r="P13" s="67"/>
      <c r="Q13" s="1"/>
    </row>
    <row r="14" spans="1:17" ht="17.25" customHeight="1" thickBot="1" x14ac:dyDescent="0.3">
      <c r="A14" s="121"/>
      <c r="B14" s="89" t="s">
        <v>65</v>
      </c>
      <c r="C14" s="74">
        <v>0</v>
      </c>
      <c r="D14" s="74">
        <v>0</v>
      </c>
      <c r="E14" s="74">
        <v>0</v>
      </c>
      <c r="F14" s="75">
        <f>IF((C14=""),"",SUM(C14:E14))</f>
        <v>0</v>
      </c>
      <c r="G14" s="76">
        <v>11</v>
      </c>
      <c r="H14" s="74">
        <v>32</v>
      </c>
      <c r="I14" s="74">
        <f>IF((F14=""),"",(G14-H14))</f>
        <v>-21</v>
      </c>
      <c r="J14" s="77">
        <v>4</v>
      </c>
      <c r="K14" s="78">
        <v>0</v>
      </c>
      <c r="L14" s="74"/>
      <c r="M14" s="90" t="str">
        <f>IF((J14=""),"",IF(OR(J14=2,J14=3,J14=4),"",IF(('[1]1A_F'!$I$8=""),"",VLOOKUP(B14,'[1]1A_C.'!$I$65:$J$68,2,0))))</f>
        <v/>
      </c>
      <c r="N14" s="74" t="str">
        <f>IF(OR(M14="",M14=0),"",VLOOKUP(B14,'[1]1A_C.'!$N$65:$O$66,2,0))</f>
        <v/>
      </c>
      <c r="O14" s="74">
        <f>IF((E14=""),"",SUM(F14,K14,L14,M14,N14))</f>
        <v>0</v>
      </c>
      <c r="P14" s="74"/>
      <c r="Q14" s="1"/>
    </row>
    <row r="15" spans="1:17" ht="24" thickBot="1" x14ac:dyDescent="0.3">
      <c r="A15" s="80"/>
      <c r="B15" s="91"/>
      <c r="C15" s="82"/>
      <c r="D15" s="82"/>
      <c r="E15" s="82"/>
      <c r="F15" s="83"/>
      <c r="G15" s="84"/>
      <c r="H15" s="82"/>
      <c r="I15" s="82"/>
      <c r="J15" s="82"/>
      <c r="K15" s="4"/>
      <c r="L15" s="4"/>
      <c r="M15" s="4"/>
      <c r="N15" s="4"/>
      <c r="O15" s="4"/>
      <c r="P15" s="4"/>
      <c r="Q15" s="1"/>
    </row>
    <row r="16" spans="1:17" ht="16.5" customHeight="1" x14ac:dyDescent="0.25">
      <c r="A16" s="119">
        <v>3</v>
      </c>
      <c r="B16" s="85" t="s">
        <v>55</v>
      </c>
      <c r="C16" s="61">
        <v>2</v>
      </c>
      <c r="D16" s="61">
        <v>0</v>
      </c>
      <c r="E16" s="61">
        <v>2</v>
      </c>
      <c r="F16" s="62">
        <v>4</v>
      </c>
      <c r="G16" s="63">
        <v>31</v>
      </c>
      <c r="H16" s="61">
        <v>18</v>
      </c>
      <c r="I16" s="61">
        <f>IF((F16=""),"",(G16-H16))</f>
        <v>13</v>
      </c>
      <c r="J16" s="64">
        <v>2</v>
      </c>
      <c r="K16" s="65">
        <f>IF((J16=""),"",IF((J16=1),6,IF((J16=2),4,IF((J16=4),0,IF(AND(B$20="OFFICE",J16=3),0,2)))))</f>
        <v>4</v>
      </c>
      <c r="L16" s="86">
        <v>2</v>
      </c>
      <c r="M16" s="61" t="str">
        <f>IF((J16=""),"",IF(OR(J16=2,J16=3,J16=4),"",IF(('[1]1A_F'!$I$14=""),"",VLOOKUP(B16,'[1]1A_C.'!$I$65:$J$68,2,0))))</f>
        <v/>
      </c>
      <c r="N16" s="61" t="str">
        <f>IF(OR(M16="",M16=0),"",VLOOKUP(B16,'[1]1A_C.'!$N$65:$O$66,2,0))</f>
        <v/>
      </c>
      <c r="O16" s="61">
        <f>IF((E16=""),"",SUM(F16,K16,L16,M16,N16))</f>
        <v>10</v>
      </c>
      <c r="P16" s="61"/>
      <c r="Q16" s="1"/>
    </row>
    <row r="17" spans="1:17" ht="33" customHeight="1" x14ac:dyDescent="0.25">
      <c r="A17" s="120"/>
      <c r="B17" s="87" t="s">
        <v>57</v>
      </c>
      <c r="C17" s="67">
        <v>0</v>
      </c>
      <c r="D17" s="67">
        <v>0</v>
      </c>
      <c r="E17" s="67">
        <v>0</v>
      </c>
      <c r="F17" s="68">
        <f>IF((C17=""),"",SUM(C17:E17))</f>
        <v>0</v>
      </c>
      <c r="G17" s="69">
        <v>20</v>
      </c>
      <c r="H17" s="67">
        <v>26</v>
      </c>
      <c r="I17" s="67">
        <f>IF((F17=""),"",(G17-H17))</f>
        <v>-6</v>
      </c>
      <c r="J17" s="70">
        <v>4</v>
      </c>
      <c r="K17" s="71">
        <f t="shared" ref="K17:K19" si="2">IF((J17=""),"",IF((J17=1),6,IF((J17=2),4,IF((J17=4),0,IF(AND(B$20="OFFICE",J17=3),0,2)))))</f>
        <v>0</v>
      </c>
      <c r="L17" s="88" t="str">
        <f>IF((J17=""),"",IF(OR(J17=1,J17=4),"",IF(('[1]1A_F'!$D$14=""),"",VLOOKUP(B17,'[1]1A_C.'!$D$65:$E$72,2,0))))</f>
        <v/>
      </c>
      <c r="M17" s="67" t="str">
        <f>IF((J17=""),"",IF(OR(J17=2,J17=3,J17=4),"",IF(('[1]1A_F'!$I$14=""),"",VLOOKUP(B17,'[1]1A_C.'!$I$65:$J$68,2,0))))</f>
        <v/>
      </c>
      <c r="N17" s="67" t="str">
        <f>IF(OR(M17="",M17=0),"",VLOOKUP(B17,'[1]1A_C.'!$N$65:$O$66,2,0))</f>
        <v/>
      </c>
      <c r="O17" s="67">
        <f>IF((E17=""),"",SUM(F17,K17,L17,M17,N17))</f>
        <v>0</v>
      </c>
      <c r="P17" s="67"/>
      <c r="Q17" s="1"/>
    </row>
    <row r="18" spans="1:17" ht="16.5" customHeight="1" x14ac:dyDescent="0.25">
      <c r="A18" s="120"/>
      <c r="B18" s="87" t="s">
        <v>40</v>
      </c>
      <c r="C18" s="67">
        <v>2</v>
      </c>
      <c r="D18" s="67">
        <v>2</v>
      </c>
      <c r="E18" s="67">
        <v>2</v>
      </c>
      <c r="F18" s="68">
        <f>IF((C18=""),"",SUM(C18:E18))</f>
        <v>6</v>
      </c>
      <c r="G18" s="69">
        <v>25</v>
      </c>
      <c r="H18" s="67">
        <v>18</v>
      </c>
      <c r="I18" s="67">
        <f>IF((F18=""),"",(G18-H18))</f>
        <v>7</v>
      </c>
      <c r="J18" s="70">
        <v>1</v>
      </c>
      <c r="K18" s="71">
        <f t="shared" si="2"/>
        <v>6</v>
      </c>
      <c r="L18" s="88" t="str">
        <f>IF((J18=""),"",IF(OR(J18=1,J18=4),"",IF(('[1]1A_F'!$D$14=""),"",VLOOKUP(B18,'[1]1A_C.'!$D$65:$E$72,2,0))))</f>
        <v/>
      </c>
      <c r="M18" s="67">
        <v>0</v>
      </c>
      <c r="N18" s="67" t="str">
        <f>IF(OR(M18="",M18=0),"",VLOOKUP(B18,'[1]1A_C.'!$N$65:$O$66,2,0))</f>
        <v/>
      </c>
      <c r="O18" s="67">
        <f>IF((E18=""),"",SUM(F18,K18,L18,M18,N18))</f>
        <v>12</v>
      </c>
      <c r="P18" s="67"/>
      <c r="Q18" s="1"/>
    </row>
    <row r="19" spans="1:17" ht="17.25" customHeight="1" thickBot="1" x14ac:dyDescent="0.3">
      <c r="A19" s="121"/>
      <c r="B19" s="89" t="s">
        <v>68</v>
      </c>
      <c r="C19" s="74">
        <v>0</v>
      </c>
      <c r="D19" s="74">
        <v>2</v>
      </c>
      <c r="E19" s="74">
        <v>0</v>
      </c>
      <c r="F19" s="75">
        <v>2</v>
      </c>
      <c r="G19" s="76">
        <v>14</v>
      </c>
      <c r="H19" s="74">
        <v>28</v>
      </c>
      <c r="I19" s="74">
        <f>IF((F19=""),"",(G19-H19))</f>
        <v>-14</v>
      </c>
      <c r="J19" s="77">
        <v>3</v>
      </c>
      <c r="K19" s="78">
        <f t="shared" si="2"/>
        <v>2</v>
      </c>
      <c r="L19" s="90">
        <v>2</v>
      </c>
      <c r="M19" s="74" t="str">
        <f>IF((J19=""),"",IF(OR(J19=2,J19=3,J19=4),"",IF(('[1]1A_F'!$I$14=""),"",VLOOKUP(B19,'[1]1A_C.'!$I$65:$J$68,2,0))))</f>
        <v/>
      </c>
      <c r="N19" s="74" t="str">
        <f>IF(OR(M19="",M19=0),"",VLOOKUP(B19,'[1]1A_C.'!$N$65:$O$66,2,0))</f>
        <v/>
      </c>
      <c r="O19" s="74">
        <f>IF((E19=""),"",SUM(F19,K19,L19,M19,N19))</f>
        <v>6</v>
      </c>
      <c r="P19" s="74"/>
      <c r="Q19" s="1"/>
    </row>
    <row r="20" spans="1:17" ht="24" thickBot="1" x14ac:dyDescent="0.3">
      <c r="A20" s="80"/>
      <c r="B20" s="91"/>
      <c r="C20" s="82"/>
      <c r="D20" s="82"/>
      <c r="E20" s="82"/>
      <c r="F20" s="83"/>
      <c r="G20" s="84"/>
      <c r="H20" s="82"/>
      <c r="I20" s="82"/>
      <c r="J20" s="82"/>
      <c r="K20" s="4"/>
      <c r="L20" s="4"/>
      <c r="M20" s="4"/>
      <c r="N20" s="4"/>
      <c r="O20" s="4"/>
      <c r="P20" s="4"/>
      <c r="Q20" s="1"/>
    </row>
    <row r="21" spans="1:17" ht="16.5" customHeight="1" x14ac:dyDescent="0.25">
      <c r="A21" s="119">
        <v>4</v>
      </c>
      <c r="B21" s="85" t="s">
        <v>56</v>
      </c>
      <c r="C21" s="61">
        <v>2</v>
      </c>
      <c r="D21" s="61">
        <v>2</v>
      </c>
      <c r="E21" s="61">
        <v>2</v>
      </c>
      <c r="F21" s="62">
        <f>IF((C21=""),"",SUM(C21:E21))</f>
        <v>6</v>
      </c>
      <c r="G21" s="63">
        <v>28</v>
      </c>
      <c r="H21" s="61">
        <v>21</v>
      </c>
      <c r="I21" s="61">
        <f>IF((F21=""),"",(G21-H21))</f>
        <v>7</v>
      </c>
      <c r="J21" s="64">
        <v>1</v>
      </c>
      <c r="K21" s="65">
        <f>IF((J21=""),"",IF((J21=1),6,IF((J21=2),4,IF((J21=4),0,IF(AND(B$25="OFFICE",J21=3),0,2)))))</f>
        <v>6</v>
      </c>
      <c r="L21" s="86" t="str">
        <f>IF((J21=""),"",IF(OR(J21=1,J21=4),"",IF(('[1]1A_F'!$D$14=""),"",VLOOKUP(B21,'[1]1A_C.'!$D$65:$E$72,2,0))))</f>
        <v/>
      </c>
      <c r="M21" s="61">
        <v>4</v>
      </c>
      <c r="N21" s="61">
        <v>4</v>
      </c>
      <c r="O21" s="61">
        <f>IF((E21=""),"",SUM(F21,K21,L21,M21,N21))</f>
        <v>20</v>
      </c>
      <c r="P21" s="61"/>
      <c r="Q21" s="1"/>
    </row>
    <row r="22" spans="1:17" ht="33" customHeight="1" x14ac:dyDescent="0.25">
      <c r="A22" s="120"/>
      <c r="B22" s="87" t="s">
        <v>47</v>
      </c>
      <c r="C22" s="67">
        <v>0</v>
      </c>
      <c r="D22" s="67">
        <v>0</v>
      </c>
      <c r="E22" s="67">
        <v>2</v>
      </c>
      <c r="F22" s="68">
        <f>IF((C22=""),"",SUM(C22:E22))</f>
        <v>2</v>
      </c>
      <c r="G22" s="69">
        <f>'[1]1A_C.'!L43</f>
        <v>28</v>
      </c>
      <c r="H22" s="67">
        <v>20</v>
      </c>
      <c r="I22" s="67">
        <f>IF((F22=""),"",(G22-H22))</f>
        <v>8</v>
      </c>
      <c r="J22" s="70">
        <v>3</v>
      </c>
      <c r="K22" s="71">
        <f t="shared" ref="K22:K24" si="3">IF((J22=""),"",IF((J22=1),6,IF((J22=2),4,IF((J22=4),0,IF(AND(B$25="OFFICE",J22=3),0,2)))))</f>
        <v>2</v>
      </c>
      <c r="L22" s="88">
        <f>IF((J22=""),"",IF(OR(J22=1,J22=4),"",IF(('[1]1A_F'!$D$14=""),"",VLOOKUP(B22,'[1]1A_C.'!$D$65:$E$72,2,0))))</f>
        <v>0</v>
      </c>
      <c r="M22" s="67">
        <v>0</v>
      </c>
      <c r="N22" s="67" t="str">
        <f>IF(OR(M22="",M22=0),"",VLOOKUP(B22,'[1]1A_C.'!$N$65:$O$66,2,0))</f>
        <v/>
      </c>
      <c r="O22" s="67">
        <f>IF((E22=""),"",SUM(F22,K22,L22,M22,N22))</f>
        <v>4</v>
      </c>
      <c r="P22" s="67"/>
      <c r="Q22" s="1"/>
    </row>
    <row r="23" spans="1:17" ht="16.5" customHeight="1" x14ac:dyDescent="0.25">
      <c r="A23" s="120"/>
      <c r="B23" s="87" t="s">
        <v>61</v>
      </c>
      <c r="C23" s="67">
        <v>0</v>
      </c>
      <c r="D23" s="67">
        <v>0</v>
      </c>
      <c r="E23" s="67">
        <v>0</v>
      </c>
      <c r="F23" s="68">
        <v>0</v>
      </c>
      <c r="G23" s="69">
        <v>17</v>
      </c>
      <c r="H23" s="67">
        <v>30</v>
      </c>
      <c r="I23" s="67">
        <f>IF((F23=""),"",(G23-H23))</f>
        <v>-13</v>
      </c>
      <c r="J23" s="70">
        <v>4</v>
      </c>
      <c r="K23" s="71">
        <f t="shared" si="3"/>
        <v>0</v>
      </c>
      <c r="L23" s="88" t="str">
        <f>IF((J23=""),"",IF(OR(J23=1,J23=4),"",IF(('[1]1A_F'!$D$14=""),"",VLOOKUP(B23,'[1]1A_C.'!$D$65:$E$72,2,0))))</f>
        <v/>
      </c>
      <c r="M23" s="67" t="str">
        <f>IF((J23=""),"",IF(OR(J23=2,J23=3,J23=4),"",IF(('[1]1A_F'!$I$14=""),"",VLOOKUP(B23,'[1]1A_C.'!$I$65:$J$68,2,0))))</f>
        <v/>
      </c>
      <c r="N23" s="67" t="str">
        <f>IF(OR(M23="",M23=0),"",VLOOKUP(B23,'[1]1A_C.'!$N$65:$O$66,2,0))</f>
        <v/>
      </c>
      <c r="O23" s="67">
        <f>IF((E23=""),"",SUM(F23,K23,L23,M23,N23))</f>
        <v>0</v>
      </c>
      <c r="P23" s="67"/>
      <c r="Q23" s="1"/>
    </row>
    <row r="24" spans="1:17" ht="17.25" customHeight="1" thickBot="1" x14ac:dyDescent="0.3">
      <c r="A24" s="121"/>
      <c r="B24" s="89" t="s">
        <v>88</v>
      </c>
      <c r="C24" s="74">
        <v>2</v>
      </c>
      <c r="D24" s="74">
        <v>2</v>
      </c>
      <c r="E24" s="74">
        <v>0</v>
      </c>
      <c r="F24" s="75">
        <v>4</v>
      </c>
      <c r="G24" s="76">
        <v>22</v>
      </c>
      <c r="H24" s="74">
        <v>24</v>
      </c>
      <c r="I24" s="74">
        <f>IF((F24=""),"",(G24-H24))</f>
        <v>-2</v>
      </c>
      <c r="J24" s="77">
        <v>2</v>
      </c>
      <c r="K24" s="78">
        <f t="shared" si="3"/>
        <v>4</v>
      </c>
      <c r="L24" s="90">
        <f>IF((J24=""),"",IF(OR(J24=1,J24=4),"",IF(('[1]1A_F'!$D$14=""),"",VLOOKUP(B24,'[1]1A_C.'!$D$65:$E$72,2,0))))</f>
        <v>0</v>
      </c>
      <c r="M24" s="74">
        <v>0</v>
      </c>
      <c r="N24" s="74" t="str">
        <f>IF(OR(M24="",M24=0),"",VLOOKUP(B24,'[1]1A_C.'!$N$65:$O$66,2,0))</f>
        <v/>
      </c>
      <c r="O24" s="74">
        <f>IF((E24=""),"",SUM(F24,K24,L24,M24,N24))</f>
        <v>8</v>
      </c>
      <c r="P24" s="74"/>
      <c r="Q24" s="1"/>
    </row>
    <row r="25" spans="1:17" x14ac:dyDescent="0.25">
      <c r="A25" s="4"/>
      <c r="B25" s="92"/>
      <c r="C25" s="4">
        <v>16</v>
      </c>
      <c r="D25" s="4">
        <v>16</v>
      </c>
      <c r="E25" s="4">
        <v>16</v>
      </c>
      <c r="F25" s="4">
        <v>48</v>
      </c>
      <c r="G25" s="4"/>
      <c r="H25" s="4"/>
      <c r="I25" s="4">
        <v>0</v>
      </c>
      <c r="J25" s="4">
        <v>40</v>
      </c>
      <c r="K25" s="4">
        <v>48</v>
      </c>
      <c r="L25" s="4">
        <v>8</v>
      </c>
      <c r="M25" s="4">
        <v>8</v>
      </c>
      <c r="N25" s="4">
        <v>4</v>
      </c>
      <c r="O25" s="4">
        <v>116</v>
      </c>
      <c r="P25" s="4"/>
      <c r="Q25" s="1"/>
    </row>
    <row r="26" spans="1:17" x14ac:dyDescent="0.25">
      <c r="A26" s="4"/>
      <c r="B26" s="4"/>
      <c r="C26" s="4">
        <f t="shared" ref="C26:O26" si="4">SUM(C6:C24)</f>
        <v>16</v>
      </c>
      <c r="D26" s="4">
        <f t="shared" si="4"/>
        <v>16</v>
      </c>
      <c r="E26" s="4">
        <f t="shared" si="4"/>
        <v>16</v>
      </c>
      <c r="F26" s="4">
        <f t="shared" si="4"/>
        <v>48</v>
      </c>
      <c r="G26" s="4">
        <f t="shared" si="4"/>
        <v>364</v>
      </c>
      <c r="H26" s="4">
        <f t="shared" si="4"/>
        <v>364</v>
      </c>
      <c r="I26" s="4">
        <f t="shared" si="4"/>
        <v>0</v>
      </c>
      <c r="J26" s="4">
        <f t="shared" si="4"/>
        <v>40</v>
      </c>
      <c r="K26" s="4">
        <f t="shared" si="4"/>
        <v>48</v>
      </c>
      <c r="L26" s="4">
        <f t="shared" si="4"/>
        <v>8</v>
      </c>
      <c r="M26" s="4">
        <f t="shared" si="4"/>
        <v>8</v>
      </c>
      <c r="N26" s="4">
        <f t="shared" si="4"/>
        <v>4</v>
      </c>
      <c r="O26" s="4">
        <f t="shared" si="4"/>
        <v>116</v>
      </c>
      <c r="P26" s="4"/>
      <c r="Q26" s="1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mergeCells count="4">
    <mergeCell ref="A6:A9"/>
    <mergeCell ref="A11:A14"/>
    <mergeCell ref="A16:A19"/>
    <mergeCell ref="A21:A24"/>
  </mergeCells>
  <conditionalFormatting sqref="B11:B24">
    <cfRule type="cellIs" dxfId="11" priority="11" stopIfTrue="1" operator="equal">
      <formula>"OFFICE"</formula>
    </cfRule>
  </conditionalFormatting>
  <conditionalFormatting sqref="F6:F9">
    <cfRule type="duplicateValues" dxfId="10" priority="4" stopIfTrue="1"/>
  </conditionalFormatting>
  <conditionalFormatting sqref="F11:F14">
    <cfRule type="duplicateValues" dxfId="9" priority="3" stopIfTrue="1"/>
  </conditionalFormatting>
  <conditionalFormatting sqref="F16:F19">
    <cfRule type="duplicateValues" dxfId="8" priority="2" stopIfTrue="1"/>
  </conditionalFormatting>
  <conditionalFormatting sqref="F21:F24">
    <cfRule type="duplicateValues" dxfId="7" priority="1" stopIfTrue="1"/>
  </conditionalFormatting>
  <conditionalFormatting sqref="J6:J9 J11:J14 J16:J19 J21:J24">
    <cfRule type="cellIs" dxfId="6" priority="5" stopIfTrue="1" operator="equal">
      <formula>"EGALITE PARFAITE ENTRE 3 EQUIPES"</formula>
    </cfRule>
    <cfRule type="cellIs" dxfId="5" priority="6" stopIfTrue="1" operator="equal">
      <formula>3</formula>
    </cfRule>
    <cfRule type="cellIs" dxfId="4" priority="7" stopIfTrue="1" operator="equal">
      <formula>2</formula>
    </cfRule>
    <cfRule type="cellIs" dxfId="3" priority="9" stopIfTrue="1" operator="equal">
      <formula>4</formula>
    </cfRule>
    <cfRule type="cellIs" dxfId="2" priority="10" stopIfTrue="1" operator="equal">
      <formula>1</formula>
    </cfRule>
  </conditionalFormatting>
  <conditionalFormatting sqref="O11:O14 O16:O19 O21:O24 O6:O9">
    <cfRule type="top10" dxfId="1" priority="8" stopIfTrue="1" rank="1"/>
  </conditionalFormatting>
  <conditionalFormatting sqref="P6:P9 P11:P14 P16:P19 P21:P24">
    <cfRule type="top10" dxfId="0" priority="19" stopIfTrue="1" rank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1"/>
  <sheetViews>
    <sheetView topLeftCell="B1" workbookViewId="0">
      <selection activeCell="O26" sqref="O26"/>
    </sheetView>
  </sheetViews>
  <sheetFormatPr baseColWidth="10" defaultRowHeight="15" x14ac:dyDescent="0.25"/>
  <cols>
    <col min="1" max="1" width="20.5703125" customWidth="1"/>
    <col min="15" max="15" width="23.85546875" customWidth="1"/>
  </cols>
  <sheetData>
    <row r="1" spans="1:17" x14ac:dyDescent="0.25">
      <c r="A1" s="10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 t="s">
        <v>2</v>
      </c>
      <c r="M3" s="1"/>
      <c r="N3" s="1"/>
      <c r="O3" s="1"/>
      <c r="P3" s="1"/>
      <c r="Q3" s="1"/>
    </row>
    <row r="4" spans="1:17" x14ac:dyDescent="0.2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 t="s">
        <v>4</v>
      </c>
      <c r="M4" s="1"/>
      <c r="N4" s="1"/>
      <c r="O4" s="1"/>
      <c r="P4" s="1"/>
      <c r="Q4" s="1"/>
    </row>
    <row r="5" spans="1:17" ht="30" x14ac:dyDescent="0.25">
      <c r="A5" s="4"/>
      <c r="B5" s="4"/>
      <c r="C5" s="4" t="s">
        <v>5</v>
      </c>
      <c r="D5" s="4" t="s">
        <v>6</v>
      </c>
      <c r="E5" s="4" t="s">
        <v>7</v>
      </c>
      <c r="F5" s="4" t="s">
        <v>8</v>
      </c>
      <c r="G5" s="29" t="s">
        <v>27</v>
      </c>
      <c r="H5" s="35" t="s">
        <v>9</v>
      </c>
      <c r="I5" s="30" t="s">
        <v>10</v>
      </c>
      <c r="J5" s="4" t="s">
        <v>11</v>
      </c>
      <c r="K5" s="31" t="s">
        <v>12</v>
      </c>
      <c r="L5" s="4" t="s">
        <v>13</v>
      </c>
      <c r="M5" s="4" t="s">
        <v>14</v>
      </c>
      <c r="N5" s="4" t="s">
        <v>15</v>
      </c>
      <c r="O5" s="32" t="s">
        <v>16</v>
      </c>
      <c r="P5" s="4"/>
      <c r="Q5" s="4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>
        <v>1</v>
      </c>
      <c r="B7" s="1" t="s">
        <v>53</v>
      </c>
      <c r="C7" s="1">
        <v>0</v>
      </c>
      <c r="D7" s="1">
        <v>0</v>
      </c>
      <c r="E7" s="1">
        <v>2</v>
      </c>
      <c r="F7" s="1">
        <v>2</v>
      </c>
      <c r="G7" s="1">
        <v>25</v>
      </c>
      <c r="H7" s="1">
        <v>27</v>
      </c>
      <c r="I7" s="1">
        <v>-2</v>
      </c>
      <c r="J7" s="1">
        <v>2</v>
      </c>
      <c r="K7" s="1">
        <v>4</v>
      </c>
      <c r="L7" s="1">
        <v>2</v>
      </c>
      <c r="M7" s="1"/>
      <c r="N7" s="1"/>
      <c r="O7" s="1">
        <v>8</v>
      </c>
      <c r="P7" s="1"/>
      <c r="Q7" s="1"/>
    </row>
    <row r="8" spans="1:17" x14ac:dyDescent="0.25">
      <c r="A8" s="1"/>
      <c r="B8" s="1" t="s">
        <v>60</v>
      </c>
      <c r="C8" s="1">
        <v>2</v>
      </c>
      <c r="D8" s="1">
        <v>2</v>
      </c>
      <c r="E8" s="1">
        <v>2</v>
      </c>
      <c r="F8" s="1">
        <v>6</v>
      </c>
      <c r="G8" s="1">
        <v>36</v>
      </c>
      <c r="H8" s="1">
        <v>15</v>
      </c>
      <c r="I8" s="1">
        <v>21</v>
      </c>
      <c r="J8" s="1">
        <v>1</v>
      </c>
      <c r="K8" s="1">
        <v>6</v>
      </c>
      <c r="L8" s="1"/>
      <c r="M8" s="1">
        <v>0</v>
      </c>
      <c r="N8" s="1"/>
      <c r="O8" s="1">
        <v>12</v>
      </c>
      <c r="P8" s="1"/>
      <c r="Q8" s="1"/>
    </row>
    <row r="9" spans="1:17" x14ac:dyDescent="0.25">
      <c r="A9" s="1"/>
      <c r="B9" s="1" t="s">
        <v>62</v>
      </c>
      <c r="C9" s="1">
        <v>0</v>
      </c>
      <c r="D9" s="1">
        <v>2</v>
      </c>
      <c r="E9" s="1">
        <v>0</v>
      </c>
      <c r="F9" s="1">
        <v>2</v>
      </c>
      <c r="G9" s="1">
        <v>15</v>
      </c>
      <c r="H9" s="1">
        <v>31</v>
      </c>
      <c r="I9" s="1">
        <v>-16</v>
      </c>
      <c r="J9" s="1">
        <v>4</v>
      </c>
      <c r="K9" s="1">
        <v>0</v>
      </c>
      <c r="L9" s="1"/>
      <c r="M9" s="1"/>
      <c r="N9" s="1"/>
      <c r="O9" s="1">
        <v>2</v>
      </c>
      <c r="P9" s="1"/>
      <c r="Q9" s="1"/>
    </row>
    <row r="10" spans="1:17" x14ac:dyDescent="0.25">
      <c r="A10" s="1"/>
      <c r="B10" s="1" t="s">
        <v>67</v>
      </c>
      <c r="C10" s="1">
        <v>2</v>
      </c>
      <c r="D10" s="1">
        <v>0</v>
      </c>
      <c r="E10" s="1">
        <v>0</v>
      </c>
      <c r="F10" s="1">
        <v>2</v>
      </c>
      <c r="G10" s="1">
        <v>23</v>
      </c>
      <c r="H10" s="1">
        <v>26</v>
      </c>
      <c r="I10" s="1">
        <v>-3</v>
      </c>
      <c r="J10" s="1">
        <v>3</v>
      </c>
      <c r="K10" s="1">
        <v>2</v>
      </c>
      <c r="L10" s="1">
        <v>0</v>
      </c>
      <c r="M10" s="1"/>
      <c r="N10" s="1"/>
      <c r="O10" s="1">
        <v>4</v>
      </c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>
        <v>2</v>
      </c>
      <c r="B12" s="1" t="s">
        <v>54</v>
      </c>
      <c r="C12" s="1">
        <v>0</v>
      </c>
      <c r="D12" s="1">
        <v>2</v>
      </c>
      <c r="E12" s="1">
        <v>2</v>
      </c>
      <c r="F12" s="1">
        <v>4</v>
      </c>
      <c r="G12" s="1">
        <v>32</v>
      </c>
      <c r="H12" s="1">
        <v>20</v>
      </c>
      <c r="I12" s="1">
        <v>12</v>
      </c>
      <c r="J12" s="1">
        <v>2</v>
      </c>
      <c r="K12" s="1">
        <v>4</v>
      </c>
      <c r="L12" s="1">
        <v>2</v>
      </c>
      <c r="M12" s="1"/>
      <c r="N12" s="1"/>
      <c r="O12" s="1">
        <v>10</v>
      </c>
      <c r="P12" s="1"/>
      <c r="Q12" s="1"/>
    </row>
    <row r="13" spans="1:17" x14ac:dyDescent="0.25">
      <c r="A13" s="1"/>
      <c r="B13" s="1" t="s">
        <v>59</v>
      </c>
      <c r="C13" s="1">
        <v>2</v>
      </c>
      <c r="D13" s="1">
        <v>2</v>
      </c>
      <c r="E13" s="1">
        <v>2</v>
      </c>
      <c r="F13" s="1">
        <v>6</v>
      </c>
      <c r="G13" s="1">
        <v>39</v>
      </c>
      <c r="H13" s="1">
        <v>18</v>
      </c>
      <c r="I13" s="1">
        <v>21</v>
      </c>
      <c r="J13" s="1">
        <v>1</v>
      </c>
      <c r="K13" s="1">
        <v>6</v>
      </c>
      <c r="L13" s="1"/>
      <c r="M13" s="1">
        <v>4</v>
      </c>
      <c r="N13" s="1">
        <v>0</v>
      </c>
      <c r="O13" s="1">
        <v>16</v>
      </c>
      <c r="P13" s="1"/>
      <c r="Q13" s="1"/>
    </row>
    <row r="14" spans="1:17" x14ac:dyDescent="0.25">
      <c r="A14" s="1"/>
      <c r="B14" s="1" t="s">
        <v>61</v>
      </c>
      <c r="C14" s="1">
        <v>2</v>
      </c>
      <c r="D14" s="1">
        <v>0</v>
      </c>
      <c r="E14" s="1">
        <v>0</v>
      </c>
      <c r="F14" s="1">
        <v>2</v>
      </c>
      <c r="G14" s="1">
        <v>18</v>
      </c>
      <c r="H14" s="1">
        <v>33</v>
      </c>
      <c r="I14" s="1">
        <v>-15</v>
      </c>
      <c r="J14" s="1">
        <v>3</v>
      </c>
      <c r="K14" s="1">
        <v>2</v>
      </c>
      <c r="L14" s="1">
        <v>0</v>
      </c>
      <c r="M14" s="1"/>
      <c r="N14" s="1"/>
      <c r="O14" s="1">
        <v>4</v>
      </c>
      <c r="P14" s="1"/>
      <c r="Q14" s="1"/>
    </row>
    <row r="15" spans="1:17" x14ac:dyDescent="0.25">
      <c r="A15" s="1"/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21</v>
      </c>
      <c r="H15" s="1">
        <v>39</v>
      </c>
      <c r="I15" s="1">
        <v>-18</v>
      </c>
      <c r="J15" s="1">
        <v>4</v>
      </c>
      <c r="K15" s="1">
        <v>0</v>
      </c>
      <c r="L15" s="1"/>
      <c r="M15" s="1"/>
      <c r="N15" s="1"/>
      <c r="O15" s="1">
        <v>0</v>
      </c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>
        <v>3</v>
      </c>
      <c r="B17" s="1" t="s">
        <v>55</v>
      </c>
      <c r="C17" s="1">
        <v>0</v>
      </c>
      <c r="D17" s="1">
        <v>2</v>
      </c>
      <c r="E17" s="1">
        <v>2</v>
      </c>
      <c r="F17" s="1">
        <v>4</v>
      </c>
      <c r="G17" s="1">
        <v>26</v>
      </c>
      <c r="H17" s="1">
        <v>29</v>
      </c>
      <c r="I17" s="1">
        <v>-3</v>
      </c>
      <c r="J17" s="1">
        <v>2</v>
      </c>
      <c r="K17" s="1">
        <v>4</v>
      </c>
      <c r="L17" s="1">
        <v>2</v>
      </c>
      <c r="M17" s="1"/>
      <c r="N17" s="1"/>
      <c r="O17" s="1">
        <v>10</v>
      </c>
      <c r="P17" s="1"/>
      <c r="Q17" s="1"/>
    </row>
    <row r="18" spans="1:17" x14ac:dyDescent="0.25">
      <c r="A18" s="1"/>
      <c r="B18" s="1" t="s">
        <v>58</v>
      </c>
      <c r="C18" s="1">
        <v>2</v>
      </c>
      <c r="D18" s="1">
        <v>2</v>
      </c>
      <c r="E18" s="1">
        <v>2</v>
      </c>
      <c r="F18" s="1">
        <v>6</v>
      </c>
      <c r="G18" s="1">
        <v>34</v>
      </c>
      <c r="H18" s="1">
        <v>16</v>
      </c>
      <c r="I18" s="1">
        <v>18</v>
      </c>
      <c r="J18" s="1">
        <v>1</v>
      </c>
      <c r="K18" s="1">
        <v>6</v>
      </c>
      <c r="L18" s="1"/>
      <c r="M18" s="1">
        <v>4</v>
      </c>
      <c r="N18" s="1">
        <v>4</v>
      </c>
      <c r="O18" s="1">
        <v>20</v>
      </c>
      <c r="P18" s="1"/>
      <c r="Q18" s="1"/>
    </row>
    <row r="19" spans="1:17" x14ac:dyDescent="0.25">
      <c r="A19" s="1"/>
      <c r="B19" s="1" t="s">
        <v>87</v>
      </c>
      <c r="C19" s="1">
        <v>2</v>
      </c>
      <c r="D19" s="1">
        <v>0</v>
      </c>
      <c r="E19" s="1">
        <v>0</v>
      </c>
      <c r="F19" s="1">
        <v>2</v>
      </c>
      <c r="G19" s="1">
        <v>26</v>
      </c>
      <c r="H19" s="1">
        <v>26</v>
      </c>
      <c r="I19" s="1">
        <v>0</v>
      </c>
      <c r="J19" s="1">
        <v>3</v>
      </c>
      <c r="K19" s="1">
        <v>2</v>
      </c>
      <c r="L19" s="1">
        <v>0</v>
      </c>
      <c r="M19" s="1"/>
      <c r="N19" s="1"/>
      <c r="O19" s="1">
        <v>4</v>
      </c>
      <c r="P19" s="1"/>
      <c r="Q19" s="1"/>
    </row>
    <row r="20" spans="1:17" x14ac:dyDescent="0.25">
      <c r="A20" s="1"/>
      <c r="B20" s="1" t="s">
        <v>90</v>
      </c>
      <c r="C20" s="1">
        <v>0</v>
      </c>
      <c r="D20" s="1">
        <v>0</v>
      </c>
      <c r="E20" s="1">
        <v>0</v>
      </c>
      <c r="F20" s="1">
        <v>0</v>
      </c>
      <c r="G20" s="1">
        <v>18</v>
      </c>
      <c r="H20" s="1">
        <v>33</v>
      </c>
      <c r="I20" s="1">
        <v>-15</v>
      </c>
      <c r="J20" s="1">
        <v>4</v>
      </c>
      <c r="K20" s="1">
        <v>0</v>
      </c>
      <c r="L20" s="1"/>
      <c r="M20" s="1"/>
      <c r="N20" s="1"/>
      <c r="O20" s="1">
        <v>0</v>
      </c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>
        <v>4</v>
      </c>
      <c r="B22" s="1" t="s">
        <v>56</v>
      </c>
      <c r="C22" s="1">
        <v>2</v>
      </c>
      <c r="D22" s="1">
        <v>2</v>
      </c>
      <c r="E22" s="1">
        <v>0</v>
      </c>
      <c r="F22" s="1">
        <v>4</v>
      </c>
      <c r="G22" s="1">
        <v>31</v>
      </c>
      <c r="H22" s="1">
        <v>16</v>
      </c>
      <c r="I22" s="1">
        <v>15</v>
      </c>
      <c r="J22" s="1">
        <v>1</v>
      </c>
      <c r="K22" s="1">
        <v>6</v>
      </c>
      <c r="L22" s="1"/>
      <c r="M22" s="1">
        <v>0</v>
      </c>
      <c r="N22" s="1"/>
      <c r="O22" s="1">
        <v>10</v>
      </c>
      <c r="P22" s="1"/>
      <c r="Q22" s="1"/>
    </row>
    <row r="23" spans="1:17" x14ac:dyDescent="0.25">
      <c r="A23" s="1"/>
      <c r="B23" s="1" t="s">
        <v>57</v>
      </c>
      <c r="C23" s="1">
        <v>0</v>
      </c>
      <c r="D23" s="1">
        <v>0</v>
      </c>
      <c r="E23" s="1">
        <v>0</v>
      </c>
      <c r="F23" s="1">
        <v>0</v>
      </c>
      <c r="G23" s="1">
        <v>14</v>
      </c>
      <c r="H23" s="1">
        <v>30</v>
      </c>
      <c r="I23" s="1">
        <v>-16</v>
      </c>
      <c r="J23" s="1">
        <v>4</v>
      </c>
      <c r="K23" s="1">
        <v>0</v>
      </c>
      <c r="L23" s="1"/>
      <c r="M23" s="1"/>
      <c r="N23" s="1"/>
      <c r="O23" s="1">
        <v>0</v>
      </c>
      <c r="P23" s="1"/>
      <c r="Q23" s="1"/>
    </row>
    <row r="24" spans="1:17" x14ac:dyDescent="0.25">
      <c r="A24" s="1"/>
      <c r="B24" s="1" t="s">
        <v>63</v>
      </c>
      <c r="C24" s="1">
        <v>2</v>
      </c>
      <c r="D24" s="1">
        <v>0</v>
      </c>
      <c r="E24" s="1">
        <v>2</v>
      </c>
      <c r="F24" s="1">
        <v>4</v>
      </c>
      <c r="G24" s="1">
        <v>20</v>
      </c>
      <c r="H24" s="1">
        <v>25</v>
      </c>
      <c r="I24" s="1">
        <v>-5</v>
      </c>
      <c r="J24" s="1">
        <v>3</v>
      </c>
      <c r="K24" s="1">
        <v>2</v>
      </c>
      <c r="L24" s="1">
        <v>0</v>
      </c>
      <c r="M24" s="1"/>
      <c r="N24" s="1"/>
      <c r="O24" s="1">
        <v>6</v>
      </c>
      <c r="P24" s="1"/>
      <c r="Q24" s="1"/>
    </row>
    <row r="25" spans="1:17" x14ac:dyDescent="0.25">
      <c r="A25" s="1"/>
      <c r="B25" s="1" t="s">
        <v>66</v>
      </c>
      <c r="C25" s="1">
        <v>0</v>
      </c>
      <c r="D25" s="1">
        <v>2</v>
      </c>
      <c r="E25" s="1">
        <v>2</v>
      </c>
      <c r="F25" s="1">
        <v>4</v>
      </c>
      <c r="G25" s="1">
        <v>24</v>
      </c>
      <c r="H25" s="1">
        <v>18</v>
      </c>
      <c r="I25" s="1">
        <v>6</v>
      </c>
      <c r="J25" s="1">
        <v>2</v>
      </c>
      <c r="K25" s="1">
        <v>4</v>
      </c>
      <c r="L25" s="1">
        <v>2</v>
      </c>
      <c r="M25" s="1"/>
      <c r="N25" s="1"/>
      <c r="O25" s="1">
        <v>10</v>
      </c>
      <c r="P25" s="1"/>
      <c r="Q25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Déroulé</vt:lpstr>
      <vt:lpstr>Class. Final</vt:lpstr>
      <vt:lpstr>1J</vt:lpstr>
      <vt:lpstr>2J</vt:lpstr>
      <vt:lpstr>3J</vt:lpstr>
      <vt:lpstr>4J</vt:lpstr>
      <vt:lpstr>5J</vt:lpstr>
      <vt:lpstr>'Class. Final'!Zone_d_impression</vt:lpstr>
    </vt:vector>
  </TitlesOfParts>
  <Company>particulier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Marie-Francoise CUNEY</cp:lastModifiedBy>
  <cp:lastPrinted>2024-04-30T12:19:00Z</cp:lastPrinted>
  <dcterms:created xsi:type="dcterms:W3CDTF">2022-08-10T20:15:58Z</dcterms:created>
  <dcterms:modified xsi:type="dcterms:W3CDTF">2024-04-30T12:22:38Z</dcterms:modified>
</cp:coreProperties>
</file>